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ek\Documents\VRCID\Finances\Budget\"/>
    </mc:Choice>
  </mc:AlternateContent>
  <bookViews>
    <workbookView xWindow="0" yWindow="0" windowWidth="23040" windowHeight="9084" activeTab="1"/>
  </bookViews>
  <sheets>
    <sheet name="Form 2" sheetId="2" r:id="rId1"/>
    <sheet name="Form 3" sheetId="1" r:id="rId2"/>
    <sheet name="Surplus Utilisation" sheetId="3" r:id="rId3"/>
  </sheets>
  <definedNames>
    <definedName name="_xlnm.Print_Area" localSheetId="0">'Form 2'!$B$1:$U$65</definedName>
    <definedName name="_xlnm.Print_Area" localSheetId="1">'Form 3'!$A$1:$L$98</definedName>
  </definedNames>
  <calcPr calcId="162913" concurrentCalc="0"/>
</workbook>
</file>

<file path=xl/calcChain.xml><?xml version="1.0" encoding="utf-8"?>
<calcChain xmlns="http://schemas.openxmlformats.org/spreadsheetml/2006/main">
  <c r="G48" i="1" l="1"/>
  <c r="G28" i="1"/>
  <c r="G18" i="1"/>
  <c r="G56" i="1"/>
  <c r="G45" i="1"/>
  <c r="G40" i="1"/>
  <c r="G38" i="1"/>
  <c r="G27" i="1"/>
  <c r="G25" i="1"/>
  <c r="G22" i="1"/>
  <c r="H25" i="2"/>
  <c r="L25" i="2"/>
  <c r="P25" i="2"/>
  <c r="T25" i="2"/>
  <c r="H26" i="2"/>
  <c r="L26" i="2"/>
  <c r="P26" i="2"/>
  <c r="T26" i="2"/>
  <c r="H27" i="2"/>
  <c r="L27" i="2"/>
  <c r="P27" i="2"/>
  <c r="T27" i="2"/>
  <c r="H28" i="2"/>
  <c r="L28" i="2"/>
  <c r="P28" i="2"/>
  <c r="T28" i="2"/>
  <c r="H29" i="2"/>
  <c r="L29" i="2"/>
  <c r="P29" i="2"/>
  <c r="T29" i="2"/>
  <c r="H30" i="2"/>
  <c r="L30" i="2"/>
  <c r="P30" i="2"/>
  <c r="T30" i="2"/>
  <c r="H31" i="2"/>
  <c r="L31" i="2"/>
  <c r="P31" i="2"/>
  <c r="T31" i="2"/>
  <c r="H32" i="2"/>
  <c r="L32" i="2"/>
  <c r="P32" i="2"/>
  <c r="T32" i="2"/>
  <c r="H33" i="2"/>
  <c r="L33" i="2"/>
  <c r="P33" i="2"/>
  <c r="T33" i="2"/>
  <c r="H34" i="2"/>
  <c r="L34" i="2"/>
  <c r="P34" i="2"/>
  <c r="T34" i="2"/>
  <c r="H35" i="2"/>
  <c r="L35" i="2"/>
  <c r="P35" i="2"/>
  <c r="T35" i="2"/>
  <c r="H36" i="2"/>
  <c r="L36" i="2"/>
  <c r="P36" i="2"/>
  <c r="T36" i="2"/>
  <c r="H37" i="2"/>
  <c r="L37" i="2"/>
  <c r="P37" i="2"/>
  <c r="T37" i="2"/>
  <c r="H38" i="2"/>
  <c r="L38" i="2"/>
  <c r="P38" i="2"/>
  <c r="T38" i="2"/>
  <c r="H39" i="2"/>
  <c r="L39" i="2"/>
  <c r="P39" i="2"/>
  <c r="T39" i="2"/>
  <c r="H40" i="2"/>
  <c r="L40" i="2"/>
  <c r="P40" i="2"/>
  <c r="T40" i="2"/>
  <c r="H41" i="2"/>
  <c r="L41" i="2"/>
  <c r="P41" i="2"/>
  <c r="T41" i="2"/>
  <c r="T24" i="2"/>
  <c r="H44" i="2"/>
  <c r="L44" i="2"/>
  <c r="P44" i="2"/>
  <c r="T44" i="2"/>
  <c r="H45" i="2"/>
  <c r="L45" i="2"/>
  <c r="P45" i="2"/>
  <c r="T45" i="2"/>
  <c r="H46" i="2"/>
  <c r="L46" i="2"/>
  <c r="P46" i="2"/>
  <c r="T46" i="2"/>
  <c r="T43" i="2"/>
  <c r="H21" i="2"/>
  <c r="L21" i="2"/>
  <c r="P21" i="2"/>
  <c r="T21" i="2"/>
  <c r="H20" i="2"/>
  <c r="L20" i="2"/>
  <c r="P20" i="2"/>
  <c r="T20" i="2"/>
  <c r="H19" i="2"/>
  <c r="L19" i="2"/>
  <c r="P19" i="2"/>
  <c r="T19" i="2"/>
  <c r="H13" i="2"/>
  <c r="L13" i="2"/>
  <c r="P13" i="2"/>
  <c r="T13" i="2"/>
  <c r="H14" i="2"/>
  <c r="L14" i="2"/>
  <c r="P14" i="2"/>
  <c r="T14" i="2"/>
  <c r="H15" i="2"/>
  <c r="L15" i="2"/>
  <c r="P15" i="2"/>
  <c r="T15" i="2"/>
  <c r="H16" i="2"/>
  <c r="L16" i="2"/>
  <c r="P16" i="2"/>
  <c r="T16" i="2"/>
  <c r="H17" i="2"/>
  <c r="L17" i="2"/>
  <c r="P17" i="2"/>
  <c r="T17" i="2"/>
  <c r="T12" i="2"/>
  <c r="H9" i="2"/>
  <c r="L9" i="2"/>
  <c r="P9" i="2"/>
  <c r="T9" i="2"/>
  <c r="H10" i="2"/>
  <c r="L10" i="2"/>
  <c r="P10" i="2"/>
  <c r="T10" i="2"/>
  <c r="T8" i="2"/>
  <c r="H57" i="2"/>
  <c r="L57" i="2"/>
  <c r="P57" i="2"/>
  <c r="T57" i="2"/>
  <c r="T49" i="2"/>
  <c r="P24" i="2"/>
  <c r="P43" i="2"/>
  <c r="P12" i="2"/>
  <c r="P8" i="2"/>
  <c r="P49" i="2"/>
  <c r="L24" i="2"/>
  <c r="L43" i="2"/>
  <c r="L12" i="2"/>
  <c r="L8" i="2"/>
  <c r="L49" i="2"/>
  <c r="H24" i="2"/>
  <c r="H43" i="2"/>
  <c r="H12" i="2"/>
  <c r="H8" i="2"/>
  <c r="H49" i="2"/>
  <c r="D24" i="2"/>
  <c r="D43" i="2"/>
  <c r="D12" i="2"/>
  <c r="D8" i="2"/>
  <c r="D49" i="2"/>
  <c r="C38" i="1"/>
  <c r="C40" i="1"/>
  <c r="C41" i="1"/>
  <c r="C42" i="1"/>
  <c r="C45" i="1"/>
  <c r="C48" i="1"/>
  <c r="C51" i="1"/>
  <c r="C52" i="1"/>
  <c r="C53" i="1"/>
  <c r="C57" i="1"/>
  <c r="C62" i="1"/>
  <c r="C63" i="1"/>
  <c r="C67" i="1"/>
  <c r="C68" i="1"/>
  <c r="C70" i="1"/>
  <c r="C37" i="1"/>
  <c r="C80" i="1"/>
  <c r="C81" i="1"/>
  <c r="C82" i="1"/>
  <c r="C79" i="1"/>
  <c r="H22" i="2"/>
  <c r="C35" i="1"/>
  <c r="C34" i="1"/>
  <c r="C33" i="1"/>
  <c r="C25" i="1"/>
  <c r="C26" i="1"/>
  <c r="C27" i="1"/>
  <c r="C28" i="1"/>
  <c r="C30" i="1"/>
  <c r="C24" i="1"/>
  <c r="C18" i="1"/>
  <c r="C22" i="1"/>
  <c r="C17" i="1"/>
  <c r="C72" i="1"/>
  <c r="C90" i="1"/>
  <c r="G17" i="1"/>
  <c r="G24" i="1"/>
  <c r="G37" i="1"/>
  <c r="G79" i="1"/>
  <c r="G72" i="1"/>
  <c r="G90" i="1"/>
  <c r="C8" i="1"/>
  <c r="C12" i="1"/>
  <c r="D9" i="1"/>
  <c r="K9" i="1"/>
  <c r="L9" i="1"/>
  <c r="G12" i="1"/>
  <c r="H9" i="1"/>
  <c r="K73" i="1"/>
  <c r="K74" i="1"/>
  <c r="K75" i="1"/>
  <c r="K76" i="1"/>
  <c r="K77" i="1"/>
  <c r="K72" i="1"/>
  <c r="K61" i="1"/>
  <c r="K60" i="1"/>
  <c r="D60" i="2"/>
  <c r="E56" i="2"/>
  <c r="E57" i="2"/>
  <c r="E58" i="2"/>
  <c r="E60" i="2"/>
  <c r="H60" i="2"/>
  <c r="I56" i="2"/>
  <c r="I57" i="2"/>
  <c r="I58" i="2"/>
  <c r="I60" i="2"/>
  <c r="L60" i="2"/>
  <c r="M56" i="2"/>
  <c r="M57" i="2"/>
  <c r="M58" i="2"/>
  <c r="M60" i="2"/>
  <c r="T60" i="2"/>
  <c r="U56" i="2"/>
  <c r="U57" i="2"/>
  <c r="U58" i="2"/>
  <c r="U60" i="2"/>
  <c r="P60" i="2"/>
  <c r="Q56" i="2"/>
  <c r="Q57" i="2"/>
  <c r="Q58" i="2"/>
  <c r="Q60" i="2"/>
  <c r="D8" i="3"/>
  <c r="D15" i="3"/>
  <c r="D24" i="3"/>
  <c r="A1" i="1"/>
  <c r="A1" i="3"/>
  <c r="A2" i="3"/>
  <c r="K35" i="1"/>
  <c r="K34" i="1"/>
  <c r="K33" i="1"/>
  <c r="K25" i="1"/>
  <c r="K26" i="1"/>
  <c r="K27" i="1"/>
  <c r="K28" i="1"/>
  <c r="K29" i="1"/>
  <c r="K30" i="1"/>
  <c r="K31" i="1"/>
  <c r="K24" i="1"/>
  <c r="K18" i="1"/>
  <c r="K19" i="1"/>
  <c r="K20" i="1"/>
  <c r="K21" i="1"/>
  <c r="K22" i="1"/>
  <c r="K1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2" i="1"/>
  <c r="K63" i="1"/>
  <c r="K64" i="1"/>
  <c r="K65" i="1"/>
  <c r="K66" i="1"/>
  <c r="K67" i="1"/>
  <c r="K68" i="1"/>
  <c r="K69" i="1"/>
  <c r="K70" i="1"/>
  <c r="K37" i="1"/>
  <c r="K90" i="1"/>
  <c r="K80" i="1"/>
  <c r="K81" i="1"/>
  <c r="K82" i="1"/>
  <c r="K83" i="1"/>
  <c r="K84" i="1"/>
  <c r="K85" i="1"/>
  <c r="K86" i="1"/>
  <c r="K87" i="1"/>
  <c r="K88" i="1"/>
  <c r="K79" i="1"/>
  <c r="K92" i="1"/>
  <c r="K8" i="1"/>
  <c r="K10" i="1"/>
  <c r="K12" i="1"/>
  <c r="K95" i="1"/>
  <c r="G92" i="1"/>
  <c r="G95" i="1"/>
  <c r="C92" i="1"/>
  <c r="C95" i="1"/>
  <c r="L17" i="1"/>
  <c r="L24" i="1"/>
  <c r="L33" i="1"/>
  <c r="L34" i="1"/>
  <c r="L35" i="1"/>
  <c r="L37" i="1"/>
  <c r="L72" i="1"/>
  <c r="L79" i="1"/>
  <c r="L90" i="1"/>
  <c r="L92" i="1"/>
  <c r="H17" i="1"/>
  <c r="H24" i="1"/>
  <c r="H33" i="1"/>
  <c r="H34" i="1"/>
  <c r="H35" i="1"/>
  <c r="H37" i="1"/>
  <c r="H72" i="1"/>
  <c r="H79" i="1"/>
  <c r="H90" i="1"/>
  <c r="H92" i="1"/>
  <c r="D17" i="1"/>
  <c r="D24" i="1"/>
  <c r="D33" i="1"/>
  <c r="D34" i="1"/>
  <c r="D35" i="1"/>
  <c r="D37" i="1"/>
  <c r="D72" i="1"/>
  <c r="D79" i="1"/>
  <c r="D90" i="1"/>
  <c r="D92" i="1"/>
  <c r="L8" i="1"/>
  <c r="L10" i="1"/>
  <c r="L12" i="1"/>
  <c r="H8" i="1"/>
  <c r="H10" i="1"/>
  <c r="H12" i="1"/>
  <c r="D8" i="1"/>
  <c r="D10" i="1"/>
  <c r="D12" i="1"/>
  <c r="D51" i="2"/>
  <c r="D63" i="2"/>
  <c r="L22" i="2"/>
  <c r="P22" i="2"/>
  <c r="T22" i="2"/>
  <c r="D64" i="3"/>
  <c r="E15" i="3"/>
  <c r="E8" i="3"/>
  <c r="E24" i="3"/>
  <c r="H51" i="2"/>
  <c r="T51" i="2"/>
  <c r="L51" i="2"/>
  <c r="P51" i="2"/>
  <c r="M43" i="2"/>
  <c r="M12" i="2"/>
  <c r="U43" i="2"/>
  <c r="Q43" i="2"/>
  <c r="I43" i="2"/>
  <c r="I22" i="2"/>
  <c r="I49" i="2"/>
  <c r="I19" i="2"/>
  <c r="Q12" i="2"/>
  <c r="Q24" i="2"/>
  <c r="I24" i="2"/>
  <c r="I12" i="2"/>
  <c r="I20" i="2"/>
  <c r="U8" i="2"/>
  <c r="U12" i="2"/>
  <c r="U49" i="2"/>
  <c r="Q8" i="2"/>
  <c r="I8" i="2"/>
  <c r="I21" i="2"/>
  <c r="Q22" i="2"/>
  <c r="Q21" i="2"/>
  <c r="P65" i="2"/>
  <c r="M49" i="2"/>
  <c r="Q49" i="2"/>
  <c r="Q19" i="2"/>
  <c r="Q20" i="2"/>
  <c r="M21" i="2"/>
  <c r="M19" i="2"/>
  <c r="L65" i="2"/>
  <c r="M22" i="2"/>
  <c r="M20" i="2"/>
  <c r="U21" i="2"/>
  <c r="U19" i="2"/>
  <c r="T65" i="2"/>
  <c r="U24" i="2"/>
  <c r="U22" i="2"/>
  <c r="U20" i="2"/>
  <c r="M24" i="2"/>
  <c r="M8" i="2"/>
  <c r="P63" i="2"/>
  <c r="T63" i="2"/>
  <c r="H63" i="2"/>
  <c r="E49" i="2"/>
  <c r="E8" i="2"/>
  <c r="E20" i="2"/>
  <c r="E19" i="2"/>
  <c r="H65" i="2"/>
  <c r="E22" i="2"/>
  <c r="E21" i="2"/>
  <c r="E12" i="2"/>
  <c r="E24" i="2"/>
  <c r="E43" i="2"/>
  <c r="I51" i="2"/>
  <c r="M51" i="2"/>
  <c r="Q51" i="2"/>
  <c r="U51" i="2"/>
  <c r="L63" i="2"/>
  <c r="E51" i="2"/>
</calcChain>
</file>

<file path=xl/sharedStrings.xml><?xml version="1.0" encoding="utf-8"?>
<sst xmlns="http://schemas.openxmlformats.org/spreadsheetml/2006/main" count="184" uniqueCount="114">
  <si>
    <t>PROPOSED BUDGET</t>
  </si>
  <si>
    <t>EXPENDITURE</t>
  </si>
  <si>
    <t>Salaries</t>
  </si>
  <si>
    <t>Depreciation</t>
  </si>
  <si>
    <t>Repairs and Maintenance</t>
  </si>
  <si>
    <t>Services Accounts ex CCT</t>
  </si>
  <si>
    <t>Interest Paid</t>
  </si>
  <si>
    <t>Office Furniture</t>
  </si>
  <si>
    <t>Office Equipment</t>
  </si>
  <si>
    <t>TOTAL EXPENDITURE</t>
  </si>
  <si>
    <t>INCOME</t>
  </si>
  <si>
    <t>TOTAL INCOME</t>
  </si>
  <si>
    <t>(SURPLUS) / SHORTFALL</t>
  </si>
  <si>
    <t xml:space="preserve"> </t>
  </si>
  <si>
    <t>Do not delete these formulas</t>
  </si>
  <si>
    <t>Employee Related</t>
  </si>
  <si>
    <t>5 YEAR BUDGET AS PER BUSINESS PLAN</t>
  </si>
  <si>
    <t>Accommodation (Rent)</t>
  </si>
  <si>
    <t>Bank charges</t>
  </si>
  <si>
    <t>Bad Debt Provision 3%</t>
  </si>
  <si>
    <t xml:space="preserve">BUDGET GROWTH </t>
  </si>
  <si>
    <t>Cleansing Services</t>
  </si>
  <si>
    <t>Security Services</t>
  </si>
  <si>
    <t>Social Upliftment</t>
  </si>
  <si>
    <t>Core Business</t>
  </si>
  <si>
    <t>Insurance</t>
  </si>
  <si>
    <t>Capital Expenditure</t>
  </si>
  <si>
    <t>General Expenditure</t>
  </si>
  <si>
    <t>Computer Equipment</t>
  </si>
  <si>
    <t>R</t>
  </si>
  <si>
    <t>Proposed Budget</t>
  </si>
  <si>
    <t>Auditor's remuneration</t>
  </si>
  <si>
    <t>Marketing and promotions</t>
  </si>
  <si>
    <t>Printing and stationery</t>
  </si>
  <si>
    <t>Accounting fees</t>
  </si>
  <si>
    <t>Vehicles</t>
  </si>
  <si>
    <t>Bonus Provision</t>
  </si>
  <si>
    <t>Contingency / Sundry</t>
  </si>
  <si>
    <t>Meeting expenses</t>
  </si>
  <si>
    <t>Other: Specify</t>
  </si>
  <si>
    <t>Law Enforcement officers</t>
  </si>
  <si>
    <t>Telephone and fax</t>
  </si>
  <si>
    <t xml:space="preserve">Other: Specify </t>
  </si>
  <si>
    <t>Revenue - SRA additional rates</t>
  </si>
  <si>
    <t>Advertising</t>
  </si>
  <si>
    <t>Computer expenses (Website incl.)</t>
  </si>
  <si>
    <t>PROPOSED UTILISATION OF ACCUMULATED SURPLUS</t>
  </si>
  <si>
    <t>Specify Project</t>
  </si>
  <si>
    <t>Motor Vehicles</t>
  </si>
  <si>
    <t>Cameras</t>
  </si>
  <si>
    <t>Law Enforcement Officers</t>
  </si>
  <si>
    <t>Administration and management fees</t>
  </si>
  <si>
    <t xml:space="preserve">Contingency / Sundry </t>
  </si>
  <si>
    <t>Donations</t>
  </si>
  <si>
    <t>Motor vehicle expenses</t>
  </si>
  <si>
    <t>Office security</t>
  </si>
  <si>
    <t>Protective clothing</t>
  </si>
  <si>
    <t>Secretarial duties</t>
  </si>
  <si>
    <t>Training</t>
  </si>
  <si>
    <t>Capital Expenditure (PPE)</t>
  </si>
  <si>
    <t xml:space="preserve">Office Furniture </t>
  </si>
  <si>
    <t>CCTV Cameras</t>
  </si>
  <si>
    <t>Security Equipment</t>
  </si>
  <si>
    <t>Travelling</t>
  </si>
  <si>
    <t>Staff Training</t>
  </si>
  <si>
    <t>2018/19</t>
  </si>
  <si>
    <t>2019/20</t>
  </si>
  <si>
    <t>2020/21</t>
  </si>
  <si>
    <t>2021/22</t>
  </si>
  <si>
    <t>Projects</t>
  </si>
  <si>
    <t>Vehicle - Instalment Repayment</t>
  </si>
  <si>
    <t>Parking Income</t>
  </si>
  <si>
    <t>Parking: Lease payment to CCT</t>
  </si>
  <si>
    <t>Parking: Adhoc expenses</t>
  </si>
  <si>
    <t>Variance</t>
  </si>
  <si>
    <t>REVIEWED 2017/18</t>
  </si>
  <si>
    <t>Revenue - Add. Rates</t>
  </si>
  <si>
    <t>Salaries and Wages</t>
  </si>
  <si>
    <t>PAYE, UIF &amp; SDL</t>
  </si>
  <si>
    <t>Allowances: Locomotion</t>
  </si>
  <si>
    <t>COIDA</t>
  </si>
  <si>
    <t>Bonus provision</t>
  </si>
  <si>
    <t>Cleansing services</t>
  </si>
  <si>
    <t>Environmental upgrading</t>
  </si>
  <si>
    <t>Public Safety</t>
  </si>
  <si>
    <t>Public Safety - CCTV monitoring</t>
  </si>
  <si>
    <t>Social upliftment</t>
  </si>
  <si>
    <t>Urban Maintenance</t>
  </si>
  <si>
    <t>Repairs &amp; Maintenance</t>
  </si>
  <si>
    <t>Interest &amp; Redemption</t>
  </si>
  <si>
    <t>Advertising costs</t>
  </si>
  <si>
    <t>Books, periodicals &amp; subscriptions</t>
  </si>
  <si>
    <t>Communication</t>
  </si>
  <si>
    <t>Computer expenses</t>
  </si>
  <si>
    <t>Conferences &amp; seminars - International</t>
  </si>
  <si>
    <t>Conferences &amp; seminars - National</t>
  </si>
  <si>
    <t>Food &amp; beverages</t>
  </si>
  <si>
    <t>Minor tools &amp; equipment</t>
  </si>
  <si>
    <t>Office cleaning costs</t>
  </si>
  <si>
    <t>Office rental</t>
  </si>
  <si>
    <t>Postage &amp; courier</t>
  </si>
  <si>
    <t>Printing / stationery / photographic</t>
  </si>
  <si>
    <t>Rates and Service Accounts ex CCT</t>
  </si>
  <si>
    <t>Staff welfare (tea, coffee, etc.)</t>
  </si>
  <si>
    <t>Telecommunication</t>
  </si>
  <si>
    <t>Travel &amp; subs - International</t>
  </si>
  <si>
    <t>Travel &amp; subs - National</t>
  </si>
  <si>
    <t>Provide Detail</t>
  </si>
  <si>
    <t>Fence</t>
  </si>
  <si>
    <t>Capital Expenditure: PPE</t>
  </si>
  <si>
    <t>Other Income: Specify</t>
  </si>
  <si>
    <t>Environmental Upgrading</t>
  </si>
  <si>
    <t>VOORTREKKER ROAD CORRIDOR IMPROVEMENT DISTRICT (VRCID)</t>
  </si>
  <si>
    <t>Business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</si>
</sst>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0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i/>
      <sz val="11"/>
      <name val="Century Gothic"/>
      <family val="2"/>
    </font>
    <font>
      <b/>
      <sz val="16"/>
      <name val="Century Gothic"/>
      <family val="2"/>
    </font>
    <font>
      <i/>
      <sz val="10"/>
      <name val="Century Gothic"/>
      <family val="2"/>
    </font>
    <font>
      <sz val="12"/>
      <name val="Century Gothic"/>
      <family val="2"/>
    </font>
    <font>
      <b/>
      <sz val="22"/>
      <name val="Arial"/>
      <family val="2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41" fontId="0" fillId="0" borderId="7" xfId="1" applyNumberFormat="1" applyFont="1" applyFill="1" applyBorder="1" applyAlignment="1">
      <alignment horizontal="right" vertical="center" indent="1"/>
    </xf>
    <xf numFmtId="41" fontId="0" fillId="0" borderId="8" xfId="1" applyNumberFormat="1" applyFont="1" applyFill="1" applyBorder="1" applyAlignment="1">
      <alignment horizontal="right" vertical="center" indent="1"/>
    </xf>
    <xf numFmtId="41" fontId="0" fillId="0" borderId="0" xfId="1" applyNumberFormat="1" applyFont="1" applyFill="1" applyBorder="1" applyAlignment="1">
      <alignment horizontal="right" vertical="center" indent="1"/>
    </xf>
    <xf numFmtId="41" fontId="4" fillId="0" borderId="0" xfId="1" applyNumberFormat="1" applyFont="1" applyFill="1" applyBorder="1" applyAlignment="1">
      <alignment horizontal="right" vertical="center" indent="1"/>
    </xf>
    <xf numFmtId="41" fontId="5" fillId="0" borderId="7" xfId="1" applyNumberFormat="1" applyFont="1" applyFill="1" applyBorder="1" applyAlignment="1">
      <alignment horizontal="right" vertical="center" indent="1"/>
    </xf>
    <xf numFmtId="41" fontId="5" fillId="0" borderId="9" xfId="1" applyNumberFormat="1" applyFont="1" applyFill="1" applyBorder="1" applyAlignment="1">
      <alignment horizontal="right" vertical="center" indent="1"/>
    </xf>
    <xf numFmtId="41" fontId="5" fillId="0" borderId="8" xfId="1" applyNumberFormat="1" applyFont="1" applyFill="1" applyBorder="1" applyAlignment="1">
      <alignment horizontal="right" vertical="center" indent="1"/>
    </xf>
    <xf numFmtId="41" fontId="5" fillId="0" borderId="0" xfId="1" applyNumberFormat="1" applyFont="1" applyFill="1" applyBorder="1" applyAlignment="1">
      <alignment horizontal="right" vertical="center" indent="1"/>
    </xf>
    <xf numFmtId="41" fontId="4" fillId="0" borderId="12" xfId="1" applyNumberFormat="1" applyFont="1" applyFill="1" applyBorder="1" applyAlignment="1">
      <alignment horizontal="right" vertical="center" indent="1"/>
    </xf>
    <xf numFmtId="41" fontId="0" fillId="0" borderId="9" xfId="1" applyNumberFormat="1" applyFont="1" applyFill="1" applyBorder="1" applyAlignment="1">
      <alignment horizontal="right" vertical="center" indent="1"/>
    </xf>
    <xf numFmtId="41" fontId="0" fillId="0" borderId="9" xfId="1" applyNumberFormat="1" applyFont="1" applyFill="1" applyBorder="1" applyAlignment="1">
      <alignment horizontal="right" vertical="top" indent="1"/>
    </xf>
    <xf numFmtId="41" fontId="4" fillId="0" borderId="10" xfId="1" applyNumberFormat="1" applyFont="1" applyFill="1" applyBorder="1" applyAlignment="1">
      <alignment horizontal="right" vertical="center" indent="1"/>
    </xf>
    <xf numFmtId="41" fontId="0" fillId="0" borderId="11" xfId="1" applyNumberFormat="1" applyFont="1" applyFill="1" applyBorder="1" applyAlignment="1">
      <alignment horizontal="right" vertical="center" indent="1"/>
    </xf>
    <xf numFmtId="0" fontId="0" fillId="0" borderId="3" xfId="0" applyFill="1" applyBorder="1"/>
    <xf numFmtId="0" fontId="4" fillId="0" borderId="3" xfId="0" applyFont="1" applyFill="1" applyBorder="1"/>
    <xf numFmtId="10" fontId="4" fillId="0" borderId="2" xfId="0" applyNumberFormat="1" applyFont="1" applyFill="1" applyBorder="1"/>
    <xf numFmtId="0" fontId="5" fillId="0" borderId="3" xfId="0" applyFont="1" applyFill="1" applyBorder="1"/>
    <xf numFmtId="10" fontId="5" fillId="0" borderId="2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0" xfId="0" applyFill="1"/>
    <xf numFmtId="2" fontId="4" fillId="0" borderId="0" xfId="0" applyNumberFormat="1" applyFont="1" applyFill="1" applyBorder="1"/>
    <xf numFmtId="0" fontId="0" fillId="0" borderId="0" xfId="0" applyProtection="1"/>
    <xf numFmtId="0" fontId="0" fillId="0" borderId="0" xfId="0" applyFill="1" applyAlignment="1">
      <alignment horizontal="center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/>
    <xf numFmtId="0" fontId="2" fillId="0" borderId="0" xfId="0" quotePrefix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2" fontId="3" fillId="0" borderId="2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0" fillId="0" borderId="2" xfId="0" applyNumberFormat="1" applyFill="1" applyBorder="1"/>
    <xf numFmtId="2" fontId="0" fillId="0" borderId="0" xfId="0" applyNumberFormat="1" applyFill="1" applyBorder="1"/>
    <xf numFmtId="0" fontId="4" fillId="0" borderId="0" xfId="0" quotePrefix="1" applyFont="1" applyFill="1" applyAlignment="1">
      <alignment horizontal="center"/>
    </xf>
    <xf numFmtId="0" fontId="4" fillId="0" borderId="0" xfId="0" applyFont="1" applyFill="1"/>
    <xf numFmtId="10" fontId="0" fillId="0" borderId="2" xfId="0" applyNumberFormat="1" applyFill="1" applyBorder="1"/>
    <xf numFmtId="0" fontId="5" fillId="0" borderId="0" xfId="0" applyFont="1" applyFill="1"/>
    <xf numFmtId="41" fontId="9" fillId="0" borderId="7" xfId="1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wrapText="1"/>
    </xf>
    <xf numFmtId="41" fontId="9" fillId="0" borderId="9" xfId="1" applyNumberFormat="1" applyFont="1" applyFill="1" applyBorder="1" applyAlignment="1">
      <alignment horizontal="right" vertical="center" indent="1"/>
    </xf>
    <xf numFmtId="0" fontId="5" fillId="0" borderId="0" xfId="0" quotePrefix="1" applyFont="1" applyFill="1" applyAlignment="1">
      <alignment horizontal="center"/>
    </xf>
    <xf numFmtId="0" fontId="1" fillId="0" borderId="0" xfId="0" applyFont="1" applyFill="1"/>
    <xf numFmtId="0" fontId="0" fillId="0" borderId="12" xfId="0" applyFill="1" applyBorder="1"/>
    <xf numFmtId="41" fontId="1" fillId="0" borderId="9" xfId="1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5" fillId="0" borderId="0" xfId="0" applyFont="1" applyFill="1" applyAlignment="1">
      <alignment horizontal="center"/>
    </xf>
    <xf numFmtId="10" fontId="4" fillId="0" borderId="6" xfId="0" applyNumberFormat="1" applyFont="1" applyFill="1" applyBorder="1"/>
    <xf numFmtId="41" fontId="0" fillId="0" borderId="1" xfId="1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0" fillId="0" borderId="13" xfId="0" applyFill="1" applyBorder="1"/>
    <xf numFmtId="3" fontId="0" fillId="0" borderId="14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3" xfId="0" applyFill="1" applyBorder="1" applyAlignment="1">
      <alignment vertical="top"/>
    </xf>
    <xf numFmtId="3" fontId="0" fillId="0" borderId="14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/>
    <xf numFmtId="41" fontId="4" fillId="0" borderId="7" xfId="1" applyNumberFormat="1" applyFont="1" applyFill="1" applyBorder="1" applyAlignment="1">
      <alignment horizontal="right" vertical="center" indent="1"/>
    </xf>
    <xf numFmtId="0" fontId="4" fillId="0" borderId="0" xfId="0" quotePrefix="1" applyFont="1" applyFill="1"/>
    <xf numFmtId="41" fontId="4" fillId="0" borderId="9" xfId="1" applyNumberFormat="1" applyFont="1" applyFill="1" applyBorder="1" applyAlignment="1">
      <alignment horizontal="right" vertical="center" indent="1"/>
    </xf>
    <xf numFmtId="41" fontId="4" fillId="0" borderId="8" xfId="1" applyNumberFormat="1" applyFont="1" applyFill="1" applyBorder="1" applyAlignment="1">
      <alignment horizontal="right" vertical="center" indent="1"/>
    </xf>
    <xf numFmtId="0" fontId="0" fillId="0" borderId="0" xfId="0" quotePrefix="1" applyFill="1" applyAlignment="1">
      <alignment horizontal="center"/>
    </xf>
    <xf numFmtId="3" fontId="4" fillId="0" borderId="0" xfId="0" applyNumberFormat="1" applyFont="1" applyFill="1"/>
    <xf numFmtId="3" fontId="0" fillId="0" borderId="5" xfId="0" applyNumberFormat="1" applyFill="1" applyBorder="1"/>
    <xf numFmtId="41" fontId="0" fillId="0" borderId="0" xfId="1" applyNumberFormat="1" applyFont="1" applyFill="1" applyAlignment="1">
      <alignment horizontal="right" vertical="center" indent="1"/>
    </xf>
    <xf numFmtId="41" fontId="4" fillId="0" borderId="0" xfId="1" applyNumberFormat="1" applyFont="1" applyFill="1" applyAlignment="1">
      <alignment horizontal="right" vertical="center" indent="1"/>
    </xf>
    <xf numFmtId="41" fontId="0" fillId="0" borderId="0" xfId="0" applyNumberFormat="1" applyFill="1"/>
    <xf numFmtId="0" fontId="0" fillId="0" borderId="0" xfId="0" applyFill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13" xfId="0" applyFont="1" applyBorder="1" applyProtection="1"/>
    <xf numFmtId="3" fontId="11" fillId="0" borderId="0" xfId="0" applyNumberFormat="1" applyFont="1" applyFill="1" applyBorder="1" applyAlignment="1" applyProtection="1">
      <alignment horizontal="center" vertical="top"/>
    </xf>
    <xf numFmtId="2" fontId="11" fillId="0" borderId="2" xfId="0" applyNumberFormat="1" applyFont="1" applyBorder="1" applyAlignment="1" applyProtection="1">
      <alignment horizontal="center" vertical="top"/>
    </xf>
    <xf numFmtId="0" fontId="12" fillId="0" borderId="0" xfId="0" applyFont="1" applyProtection="1"/>
    <xf numFmtId="0" fontId="12" fillId="0" borderId="3" xfId="0" applyFont="1" applyBorder="1" applyProtection="1"/>
    <xf numFmtId="41" fontId="13" fillId="0" borderId="0" xfId="1" applyNumberFormat="1" applyFont="1" applyFill="1" applyBorder="1" applyAlignment="1" applyProtection="1">
      <alignment horizontal="right" vertical="center" indent="1"/>
    </xf>
    <xf numFmtId="3" fontId="13" fillId="0" borderId="2" xfId="0" applyNumberFormat="1" applyFont="1" applyBorder="1" applyProtection="1"/>
    <xf numFmtId="0" fontId="14" fillId="0" borderId="0" xfId="0" applyFont="1" applyProtection="1"/>
    <xf numFmtId="0" fontId="15" fillId="0" borderId="3" xfId="0" applyFont="1" applyBorder="1" applyAlignment="1" applyProtection="1">
      <alignment vertical="top"/>
    </xf>
    <xf numFmtId="41" fontId="13" fillId="0" borderId="7" xfId="1" applyNumberFormat="1" applyFont="1" applyFill="1" applyBorder="1" applyAlignment="1" applyProtection="1">
      <alignment horizontal="right" vertical="top"/>
    </xf>
    <xf numFmtId="164" fontId="16" fillId="0" borderId="2" xfId="2" applyNumberFormat="1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41" fontId="13" fillId="4" borderId="7" xfId="1" applyNumberFormat="1" applyFont="1" applyFill="1" applyBorder="1" applyAlignment="1" applyProtection="1">
      <alignment horizontal="right" vertical="top"/>
      <protection locked="0"/>
    </xf>
    <xf numFmtId="164" fontId="16" fillId="0" borderId="2" xfId="2" applyNumberFormat="1" applyFont="1" applyBorder="1" applyProtection="1"/>
    <xf numFmtId="41" fontId="13" fillId="0" borderId="8" xfId="1" applyNumberFormat="1" applyFont="1" applyFill="1" applyBorder="1" applyAlignment="1" applyProtection="1">
      <alignment horizontal="right" vertical="top"/>
    </xf>
    <xf numFmtId="41" fontId="13" fillId="4" borderId="8" xfId="1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Protection="1"/>
    <xf numFmtId="0" fontId="15" fillId="0" borderId="3" xfId="0" applyFont="1" applyBorder="1" applyProtection="1"/>
    <xf numFmtId="41" fontId="16" fillId="0" borderId="10" xfId="1" applyNumberFormat="1" applyFont="1" applyFill="1" applyBorder="1" applyAlignment="1" applyProtection="1">
      <alignment horizontal="right" vertical="center" indent="1"/>
    </xf>
    <xf numFmtId="0" fontId="12" fillId="0" borderId="1" xfId="0" applyFont="1" applyBorder="1" applyProtection="1"/>
    <xf numFmtId="41" fontId="13" fillId="0" borderId="1" xfId="1" applyNumberFormat="1" applyFont="1" applyFill="1" applyBorder="1" applyAlignment="1" applyProtection="1">
      <alignment horizontal="right" vertical="center" indent="1"/>
    </xf>
    <xf numFmtId="3" fontId="13" fillId="0" borderId="1" xfId="0" applyNumberFormat="1" applyFont="1" applyBorder="1" applyProtection="1"/>
    <xf numFmtId="0" fontId="12" fillId="0" borderId="3" xfId="0" applyFont="1" applyBorder="1" applyAlignment="1" applyProtection="1">
      <alignment horizontal="center"/>
    </xf>
    <xf numFmtId="3" fontId="17" fillId="0" borderId="0" xfId="0" applyNumberFormat="1" applyFont="1" applyFill="1" applyBorder="1" applyProtection="1"/>
    <xf numFmtId="2" fontId="17" fillId="0" borderId="2" xfId="0" applyNumberFormat="1" applyFont="1" applyBorder="1" applyProtection="1"/>
    <xf numFmtId="41" fontId="16" fillId="0" borderId="0" xfId="1" applyNumberFormat="1" applyFont="1" applyFill="1" applyBorder="1" applyAlignment="1" applyProtection="1">
      <alignment horizontal="right" vertical="center" indent="1"/>
    </xf>
    <xf numFmtId="164" fontId="16" fillId="0" borderId="2" xfId="0" applyNumberFormat="1" applyFont="1" applyBorder="1" applyProtection="1"/>
    <xf numFmtId="164" fontId="0" fillId="0" borderId="0" xfId="2" applyNumberFormat="1" applyFont="1" applyProtection="1"/>
    <xf numFmtId="0" fontId="13" fillId="0" borderId="0" xfId="0" applyFont="1" applyProtection="1"/>
    <xf numFmtId="0" fontId="12" fillId="0" borderId="3" xfId="0" applyFont="1" applyBorder="1" applyAlignment="1" applyProtection="1">
      <alignment vertical="top"/>
    </xf>
    <xf numFmtId="164" fontId="13" fillId="0" borderId="2" xfId="0" applyNumberFormat="1" applyFont="1" applyBorder="1" applyAlignment="1" applyProtection="1">
      <alignment vertical="top"/>
    </xf>
    <xf numFmtId="164" fontId="13" fillId="0" borderId="2" xfId="0" applyNumberFormat="1" applyFont="1" applyBorder="1" applyProtection="1"/>
    <xf numFmtId="0" fontId="13" fillId="0" borderId="0" xfId="0" applyFont="1" applyAlignment="1" applyProtection="1">
      <alignment wrapText="1"/>
    </xf>
    <xf numFmtId="41" fontId="13" fillId="0" borderId="9" xfId="1" applyNumberFormat="1" applyFont="1" applyFill="1" applyBorder="1" applyAlignment="1" applyProtection="1">
      <alignment horizontal="right" vertical="top"/>
    </xf>
    <xf numFmtId="41" fontId="13" fillId="4" borderId="9" xfId="1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Alignment="1" applyProtection="1">
      <alignment vertical="top" wrapText="1"/>
    </xf>
    <xf numFmtId="41" fontId="16" fillId="4" borderId="0" xfId="1" applyNumberFormat="1" applyFont="1" applyFill="1" applyBorder="1" applyAlignment="1" applyProtection="1">
      <alignment horizontal="right" vertical="center" indent="1"/>
      <protection locked="0"/>
    </xf>
    <xf numFmtId="0" fontId="15" fillId="0" borderId="0" xfId="0" applyFont="1" applyProtection="1"/>
    <xf numFmtId="0" fontId="18" fillId="4" borderId="0" xfId="0" applyFont="1" applyFill="1" applyProtection="1">
      <protection locked="0"/>
    </xf>
    <xf numFmtId="0" fontId="18" fillId="0" borderId="0" xfId="0" applyFont="1" applyProtection="1"/>
    <xf numFmtId="164" fontId="13" fillId="0" borderId="2" xfId="0" applyNumberFormat="1" applyFont="1" applyFill="1" applyBorder="1" applyProtection="1"/>
    <xf numFmtId="41" fontId="16" fillId="0" borderId="12" xfId="1" applyNumberFormat="1" applyFont="1" applyFill="1" applyBorder="1" applyAlignment="1" applyProtection="1">
      <alignment horizontal="right" vertical="center" indent="1"/>
    </xf>
    <xf numFmtId="164" fontId="16" fillId="0" borderId="6" xfId="0" applyNumberFormat="1" applyFont="1" applyBorder="1" applyProtection="1"/>
    <xf numFmtId="0" fontId="12" fillId="0" borderId="4" xfId="0" applyFont="1" applyBorder="1" applyProtection="1"/>
    <xf numFmtId="41" fontId="13" fillId="0" borderId="11" xfId="1" applyNumberFormat="1" applyFont="1" applyFill="1" applyBorder="1" applyAlignment="1" applyProtection="1">
      <alignment horizontal="right" vertical="center" indent="1"/>
    </xf>
    <xf numFmtId="0" fontId="13" fillId="0" borderId="5" xfId="0" applyFont="1" applyBorder="1" applyProtection="1"/>
    <xf numFmtId="0" fontId="12" fillId="0" borderId="0" xfId="0" applyFont="1" applyBorder="1" applyProtection="1"/>
    <xf numFmtId="3" fontId="13" fillId="0" borderId="0" xfId="0" applyNumberFormat="1" applyFont="1" applyBorder="1" applyProtection="1"/>
    <xf numFmtId="3" fontId="16" fillId="0" borderId="0" xfId="0" applyNumberFormat="1" applyFont="1" applyBorder="1" applyProtection="1"/>
    <xf numFmtId="43" fontId="0" fillId="0" borderId="0" xfId="0" applyNumberFormat="1" applyFill="1" applyProtection="1"/>
    <xf numFmtId="0" fontId="12" fillId="0" borderId="0" xfId="0" applyFont="1" applyAlignment="1">
      <alignment horizontal="centerContinuous"/>
    </xf>
    <xf numFmtId="0" fontId="12" fillId="0" borderId="0" xfId="0" applyFont="1"/>
    <xf numFmtId="0" fontId="11" fillId="0" borderId="0" xfId="0" applyFont="1" applyAlignment="1">
      <alignment horizontal="centerContinuous"/>
    </xf>
    <xf numFmtId="0" fontId="11" fillId="0" borderId="0" xfId="0" quotePrefix="1" applyFont="1" applyAlignment="1">
      <alignment horizontal="centerContinuous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3" xfId="0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3" xfId="0" applyFont="1" applyBorder="1"/>
    <xf numFmtId="0" fontId="12" fillId="0" borderId="0" xfId="0" applyFont="1" applyBorder="1"/>
    <xf numFmtId="2" fontId="12" fillId="0" borderId="2" xfId="0" applyNumberFormat="1" applyFont="1" applyBorder="1"/>
    <xf numFmtId="0" fontId="15" fillId="0" borderId="0" xfId="0" quotePrefix="1" applyFont="1"/>
    <xf numFmtId="0" fontId="15" fillId="0" borderId="0" xfId="0" applyFont="1"/>
    <xf numFmtId="41" fontId="15" fillId="0" borderId="0" xfId="1" applyNumberFormat="1" applyFont="1" applyFill="1" applyBorder="1" applyAlignment="1">
      <alignment horizontal="right" vertical="center" indent="1"/>
    </xf>
    <xf numFmtId="164" fontId="15" fillId="0" borderId="2" xfId="2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quotePrefix="1" applyFont="1"/>
    <xf numFmtId="41" fontId="12" fillId="3" borderId="7" xfId="1" applyNumberFormat="1" applyFont="1" applyFill="1" applyBorder="1" applyAlignment="1">
      <alignment horizontal="right" vertical="center" indent="1"/>
    </xf>
    <xf numFmtId="2" fontId="12" fillId="0" borderId="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41" fontId="12" fillId="3" borderId="9" xfId="1" applyNumberFormat="1" applyFont="1" applyFill="1" applyBorder="1" applyAlignment="1">
      <alignment horizontal="right" vertical="center" indent="1"/>
    </xf>
    <xf numFmtId="41" fontId="12" fillId="3" borderId="8" xfId="1" applyNumberFormat="1" applyFont="1" applyFill="1" applyBorder="1" applyAlignment="1">
      <alignment horizontal="right" vertical="center" indent="1"/>
    </xf>
    <xf numFmtId="41" fontId="12" fillId="0" borderId="0" xfId="1" applyNumberFormat="1" applyFont="1" applyFill="1" applyBorder="1" applyAlignment="1">
      <alignment horizontal="right" vertical="center" indent="1"/>
    </xf>
    <xf numFmtId="0" fontId="12" fillId="0" borderId="3" xfId="0" applyFont="1" applyFill="1" applyBorder="1"/>
    <xf numFmtId="10" fontId="15" fillId="0" borderId="2" xfId="0" applyNumberFormat="1" applyFont="1" applyFill="1" applyBorder="1"/>
    <xf numFmtId="10" fontId="12" fillId="0" borderId="2" xfId="0" applyNumberFormat="1" applyFont="1" applyFill="1" applyBorder="1"/>
    <xf numFmtId="41" fontId="12" fillId="3" borderId="9" xfId="1" applyNumberFormat="1" applyFont="1" applyFill="1" applyBorder="1" applyAlignment="1">
      <alignment horizontal="right" vertical="top" indent="1"/>
    </xf>
    <xf numFmtId="0" fontId="15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1" fontId="15" fillId="0" borderId="10" xfId="1" applyNumberFormat="1" applyFont="1" applyBorder="1" applyAlignment="1">
      <alignment horizontal="right" vertical="center" indent="1"/>
    </xf>
    <xf numFmtId="164" fontId="15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4" xfId="0" applyFont="1" applyBorder="1"/>
    <xf numFmtId="41" fontId="12" fillId="0" borderId="11" xfId="1" applyNumberFormat="1" applyFont="1" applyBorder="1" applyAlignment="1">
      <alignment horizontal="right" vertical="center" indent="1"/>
    </xf>
    <xf numFmtId="0" fontId="12" fillId="0" borderId="5" xfId="0" applyFont="1" applyBorder="1"/>
    <xf numFmtId="41" fontId="12" fillId="0" borderId="0" xfId="1" applyNumberFormat="1" applyFont="1" applyAlignment="1">
      <alignment horizontal="right" vertical="center" indent="1"/>
    </xf>
    <xf numFmtId="0" fontId="12" fillId="2" borderId="0" xfId="0" applyFont="1" applyFill="1"/>
    <xf numFmtId="3" fontId="12" fillId="2" borderId="0" xfId="0" applyNumberFormat="1" applyFont="1" applyFill="1"/>
    <xf numFmtId="0" fontId="20" fillId="4" borderId="0" xfId="0" applyFont="1" applyFill="1" applyProtection="1">
      <protection locked="0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/>
    <xf numFmtId="164" fontId="0" fillId="0" borderId="2" xfId="0" applyNumberFormat="1" applyFill="1" applyBorder="1"/>
    <xf numFmtId="0" fontId="21" fillId="0" borderId="0" xfId="0" applyFont="1" applyProtection="1"/>
    <xf numFmtId="0" fontId="21" fillId="4" borderId="0" xfId="0" applyFont="1" applyFill="1" applyProtection="1">
      <protection locked="0"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11" xfId="0" quotePrefix="1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 applyProtection="1">
      <alignment horizontal="center" vertical="center" wrapText="1"/>
    </xf>
    <xf numFmtId="3" fontId="11" fillId="0" borderId="11" xfId="0" quotePrefix="1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3" fontId="23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>
      <alignment horizontal="center" vertical="top" wrapText="1"/>
    </xf>
    <xf numFmtId="17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6" fillId="0" borderId="11" xfId="0" applyNumberFormat="1" applyFont="1" applyBorder="1" applyAlignment="1">
      <alignment horizontal="center" vertical="center" wrapText="1"/>
    </xf>
    <xf numFmtId="3" fontId="16" fillId="0" borderId="11" xfId="0" quotePrefix="1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view="pageBreakPreview" topLeftCell="A18" zoomScale="96" zoomScaleNormal="80" zoomScaleSheetLayoutView="96" workbookViewId="0">
      <selection activeCell="X5" sqref="X5"/>
    </sheetView>
  </sheetViews>
  <sheetFormatPr defaultColWidth="9.109375" defaultRowHeight="13.2" x14ac:dyDescent="0.25"/>
  <cols>
    <col min="1" max="1" width="2.88671875" style="25" customWidth="1"/>
    <col min="2" max="2" width="33.109375" style="22" customWidth="1"/>
    <col min="3" max="3" width="2.88671875" style="22" customWidth="1"/>
    <col min="4" max="4" width="16.109375" style="67" bestFit="1" customWidth="1"/>
    <col min="5" max="5" width="9.5546875" style="67" bestFit="1" customWidth="1"/>
    <col min="6" max="6" width="4.88671875" style="67" customWidth="1"/>
    <col min="7" max="7" width="2.88671875" style="22" customWidth="1"/>
    <col min="8" max="8" width="16.109375" style="22" bestFit="1" customWidth="1"/>
    <col min="9" max="9" width="9.5546875" style="22" bestFit="1" customWidth="1"/>
    <col min="10" max="10" width="4.88671875" style="22" customWidth="1"/>
    <col min="11" max="11" width="2.88671875" style="22" customWidth="1"/>
    <col min="12" max="12" width="16.109375" style="22" bestFit="1" customWidth="1"/>
    <col min="13" max="13" width="9.5546875" style="22" bestFit="1" customWidth="1"/>
    <col min="14" max="14" width="4.88671875" style="22" customWidth="1"/>
    <col min="15" max="15" width="2.88671875" style="22" customWidth="1"/>
    <col min="16" max="16" width="16.109375" style="22" bestFit="1" customWidth="1"/>
    <col min="17" max="17" width="9.5546875" style="22" bestFit="1" customWidth="1"/>
    <col min="18" max="18" width="4.88671875" style="22" customWidth="1"/>
    <col min="19" max="19" width="2.88671875" style="22" customWidth="1"/>
    <col min="20" max="20" width="16.109375" style="22" bestFit="1" customWidth="1"/>
    <col min="21" max="21" width="9.5546875" style="22" bestFit="1" customWidth="1"/>
    <col min="22" max="16384" width="9.109375" style="22"/>
  </cols>
  <sheetData>
    <row r="1" spans="1:21" ht="28.2" x14ac:dyDescent="0.5">
      <c r="B1" s="26"/>
      <c r="C1" s="178" t="s">
        <v>112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3.75" customHeight="1" x14ac:dyDescent="0.3">
      <c r="A2" s="27"/>
      <c r="B2" s="28"/>
      <c r="C2" s="28"/>
      <c r="D2" s="29"/>
      <c r="E2" s="29"/>
      <c r="F2" s="29"/>
      <c r="G2" s="30"/>
      <c r="H2" s="30"/>
      <c r="O2" s="30"/>
      <c r="P2" s="30"/>
    </row>
    <row r="3" spans="1:21" ht="17.399999999999999" x14ac:dyDescent="0.3">
      <c r="B3" s="31"/>
      <c r="C3" s="179" t="s">
        <v>16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ht="5.25" customHeight="1" x14ac:dyDescent="0.3">
      <c r="A4" s="27"/>
      <c r="B4" s="28"/>
      <c r="C4" s="28"/>
      <c r="D4" s="29"/>
      <c r="E4" s="29"/>
      <c r="F4" s="29"/>
      <c r="G4" s="30"/>
      <c r="H4" s="30"/>
      <c r="O4" s="30"/>
      <c r="P4" s="30"/>
    </row>
    <row r="5" spans="1:21" ht="18" customHeight="1" thickBot="1" x14ac:dyDescent="0.35">
      <c r="A5" s="32"/>
      <c r="B5" s="28"/>
      <c r="C5" s="180" t="s">
        <v>75</v>
      </c>
      <c r="D5" s="180"/>
      <c r="E5" s="180"/>
      <c r="F5" s="33"/>
      <c r="G5" s="180" t="s">
        <v>65</v>
      </c>
      <c r="H5" s="180"/>
      <c r="I5" s="180"/>
      <c r="K5" s="180" t="s">
        <v>66</v>
      </c>
      <c r="L5" s="180"/>
      <c r="M5" s="180"/>
      <c r="O5" s="180" t="s">
        <v>67</v>
      </c>
      <c r="P5" s="180"/>
      <c r="Q5" s="180"/>
      <c r="S5" s="180" t="s">
        <v>68</v>
      </c>
      <c r="T5" s="180"/>
      <c r="U5" s="180"/>
    </row>
    <row r="6" spans="1:21" ht="17.399999999999999" x14ac:dyDescent="0.3">
      <c r="A6" s="32"/>
      <c r="B6" s="34" t="s">
        <v>1</v>
      </c>
      <c r="C6" s="35"/>
      <c r="D6" s="36" t="s">
        <v>29</v>
      </c>
      <c r="E6" s="37" t="s">
        <v>13</v>
      </c>
      <c r="F6" s="38"/>
      <c r="G6" s="39"/>
      <c r="H6" s="36" t="s">
        <v>29</v>
      </c>
      <c r="I6" s="37"/>
      <c r="J6" s="40"/>
      <c r="K6" s="39"/>
      <c r="L6" s="36" t="s">
        <v>29</v>
      </c>
      <c r="M6" s="37"/>
      <c r="N6" s="40"/>
      <c r="O6" s="39"/>
      <c r="P6" s="36" t="s">
        <v>29</v>
      </c>
      <c r="Q6" s="37"/>
      <c r="R6" s="40"/>
      <c r="S6" s="39"/>
      <c r="T6" s="36" t="s">
        <v>29</v>
      </c>
      <c r="U6" s="41"/>
    </row>
    <row r="7" spans="1:21" ht="6" customHeight="1" x14ac:dyDescent="0.25">
      <c r="C7" s="14"/>
      <c r="D7" s="42"/>
      <c r="E7" s="43"/>
      <c r="F7" s="44"/>
      <c r="G7" s="14"/>
      <c r="H7" s="42"/>
      <c r="I7" s="43"/>
      <c r="K7" s="14"/>
      <c r="L7" s="42"/>
      <c r="M7" s="43"/>
      <c r="O7" s="14"/>
      <c r="P7" s="42"/>
      <c r="Q7" s="43"/>
      <c r="S7" s="14"/>
      <c r="T7" s="42"/>
      <c r="U7" s="43"/>
    </row>
    <row r="8" spans="1:21" x14ac:dyDescent="0.25">
      <c r="A8" s="45"/>
      <c r="B8" s="46" t="s">
        <v>15</v>
      </c>
      <c r="C8" s="15"/>
      <c r="D8" s="4">
        <f>SUM(D9:D10)</f>
        <v>3244008</v>
      </c>
      <c r="E8" s="16">
        <f>+D8/$D$51</f>
        <v>0.18786719142716168</v>
      </c>
      <c r="F8" s="23"/>
      <c r="G8" s="15"/>
      <c r="H8" s="4">
        <f>SUM(H9:H10)</f>
        <v>3503528</v>
      </c>
      <c r="I8" s="16">
        <f>+H8/$H$51</f>
        <v>0.18786715509412988</v>
      </c>
      <c r="K8" s="15"/>
      <c r="L8" s="4">
        <f>SUM(L9:L10)</f>
        <v>3783810</v>
      </c>
      <c r="M8" s="16">
        <f>+L8/$L$51</f>
        <v>0.18786715437125118</v>
      </c>
      <c r="O8" s="15"/>
      <c r="P8" s="4">
        <f>SUM(P9:P10)</f>
        <v>4086515</v>
      </c>
      <c r="Q8" s="16">
        <f>+P8/$P$51</f>
        <v>0.18786716771136794</v>
      </c>
      <c r="S8" s="15"/>
      <c r="T8" s="4">
        <f>SUM(T9:T10)</f>
        <v>4413436</v>
      </c>
      <c r="U8" s="16">
        <f>+T8/$T$51</f>
        <v>0.18786715184074593</v>
      </c>
    </row>
    <row r="9" spans="1:21" x14ac:dyDescent="0.25">
      <c r="B9" s="22" t="s">
        <v>2</v>
      </c>
      <c r="C9" s="14"/>
      <c r="D9" s="1">
        <v>2994504</v>
      </c>
      <c r="E9" s="47"/>
      <c r="F9" s="44"/>
      <c r="G9" s="14"/>
      <c r="H9" s="1">
        <f t="shared" ref="H9:H10" si="0">ROUND(D9*1.08,0)</f>
        <v>3234064</v>
      </c>
      <c r="I9" s="47"/>
      <c r="K9" s="14"/>
      <c r="L9" s="1">
        <f t="shared" ref="L9:L10" si="1">ROUND(H9*1.08,0)</f>
        <v>3492789</v>
      </c>
      <c r="M9" s="47"/>
      <c r="O9" s="14"/>
      <c r="P9" s="1">
        <f t="shared" ref="P9:P10" si="2">ROUND(L9*1.08,0)</f>
        <v>3772212</v>
      </c>
      <c r="Q9" s="47"/>
      <c r="S9" s="14"/>
      <c r="T9" s="1">
        <f t="shared" ref="T9:T10" si="3">ROUND(P9*1.08,0)</f>
        <v>4073989</v>
      </c>
      <c r="U9" s="47"/>
    </row>
    <row r="10" spans="1:21" x14ac:dyDescent="0.25">
      <c r="B10" s="22" t="s">
        <v>36</v>
      </c>
      <c r="C10" s="14"/>
      <c r="D10" s="2">
        <v>249504</v>
      </c>
      <c r="E10" s="47"/>
      <c r="F10" s="44"/>
      <c r="G10" s="14"/>
      <c r="H10" s="2">
        <f t="shared" si="0"/>
        <v>269464</v>
      </c>
      <c r="I10" s="47"/>
      <c r="K10" s="14"/>
      <c r="L10" s="2">
        <f t="shared" si="1"/>
        <v>291021</v>
      </c>
      <c r="M10" s="47"/>
      <c r="O10" s="14"/>
      <c r="P10" s="2">
        <f t="shared" si="2"/>
        <v>314303</v>
      </c>
      <c r="Q10" s="47"/>
      <c r="S10" s="14"/>
      <c r="T10" s="2">
        <f t="shared" si="3"/>
        <v>339447</v>
      </c>
      <c r="U10" s="47"/>
    </row>
    <row r="11" spans="1:21" ht="5.25" customHeight="1" x14ac:dyDescent="0.25">
      <c r="C11" s="14"/>
      <c r="D11" s="3"/>
      <c r="E11" s="47"/>
      <c r="F11" s="44"/>
      <c r="G11" s="14"/>
      <c r="H11" s="3"/>
      <c r="I11" s="47"/>
      <c r="K11" s="14"/>
      <c r="L11" s="3"/>
      <c r="M11" s="47"/>
      <c r="O11" s="14"/>
      <c r="P11" s="3"/>
      <c r="Q11" s="47"/>
      <c r="S11" s="14"/>
      <c r="T11" s="3"/>
      <c r="U11" s="47"/>
    </row>
    <row r="12" spans="1:21" x14ac:dyDescent="0.25">
      <c r="A12" s="45"/>
      <c r="B12" s="46" t="s">
        <v>24</v>
      </c>
      <c r="C12" s="15"/>
      <c r="D12" s="4">
        <f>SUM(D13:D17)</f>
        <v>12502913</v>
      </c>
      <c r="E12" s="16">
        <f>+D12/$D$51</f>
        <v>0.72406946899272395</v>
      </c>
      <c r="F12" s="44"/>
      <c r="G12" s="15"/>
      <c r="H12" s="4">
        <f>SUM(H13:H17)</f>
        <v>13503146</v>
      </c>
      <c r="I12" s="16">
        <f>+H12/$H$51</f>
        <v>0.7240694590825818</v>
      </c>
      <c r="K12" s="15"/>
      <c r="L12" s="4">
        <f>SUM(L13:L17)</f>
        <v>14583398</v>
      </c>
      <c r="M12" s="16">
        <f>+L12/$L$51</f>
        <v>0.72406951811095055</v>
      </c>
      <c r="O12" s="15"/>
      <c r="P12" s="4">
        <f>SUM(P13:P17)</f>
        <v>15750068</v>
      </c>
      <c r="Q12" s="16">
        <f>+P12/$P$51</f>
        <v>0.72406944949950003</v>
      </c>
      <c r="S12" s="15"/>
      <c r="T12" s="4">
        <f>SUM(T13:T17)</f>
        <v>17010073</v>
      </c>
      <c r="U12" s="16">
        <f>+T12/$T$51</f>
        <v>0.72406940241416728</v>
      </c>
    </row>
    <row r="13" spans="1:21" x14ac:dyDescent="0.25">
      <c r="B13" s="48" t="s">
        <v>21</v>
      </c>
      <c r="C13" s="14"/>
      <c r="D13" s="49">
        <v>2350924</v>
      </c>
      <c r="E13" s="47"/>
      <c r="F13" s="44"/>
      <c r="G13" s="14"/>
      <c r="H13" s="1">
        <f t="shared" ref="H13:H17" si="4">ROUND(D13*1.08,0)</f>
        <v>2538998</v>
      </c>
      <c r="I13" s="47"/>
      <c r="K13" s="14"/>
      <c r="L13" s="1">
        <f t="shared" ref="L13:L17" si="5">ROUND(H13*1.08,0)</f>
        <v>2742118</v>
      </c>
      <c r="M13" s="47"/>
      <c r="O13" s="14"/>
      <c r="P13" s="1">
        <f t="shared" ref="P13:P17" si="6">ROUND(L13*1.08,0)</f>
        <v>2961487</v>
      </c>
      <c r="Q13" s="47"/>
      <c r="S13" s="14"/>
      <c r="T13" s="1">
        <f t="shared" ref="T13:T17" si="7">ROUND(P13*1.08,0)</f>
        <v>3198406</v>
      </c>
      <c r="U13" s="47"/>
    </row>
    <row r="14" spans="1:21" x14ac:dyDescent="0.25">
      <c r="B14" s="50" t="s">
        <v>111</v>
      </c>
      <c r="C14" s="14"/>
      <c r="D14" s="10">
        <v>120000</v>
      </c>
      <c r="E14" s="47"/>
      <c r="F14" s="44"/>
      <c r="G14" s="14"/>
      <c r="H14" s="10">
        <f t="shared" si="4"/>
        <v>129600</v>
      </c>
      <c r="I14" s="47"/>
      <c r="K14" s="14"/>
      <c r="L14" s="10">
        <f t="shared" si="5"/>
        <v>139968</v>
      </c>
      <c r="M14" s="47"/>
      <c r="O14" s="14"/>
      <c r="P14" s="10">
        <f t="shared" si="6"/>
        <v>151165</v>
      </c>
      <c r="Q14" s="47"/>
      <c r="S14" s="14"/>
      <c r="T14" s="10">
        <f t="shared" si="7"/>
        <v>163258</v>
      </c>
      <c r="U14" s="47"/>
    </row>
    <row r="15" spans="1:21" x14ac:dyDescent="0.25">
      <c r="B15" s="50" t="s">
        <v>40</v>
      </c>
      <c r="C15" s="14"/>
      <c r="D15" s="11">
        <v>332564</v>
      </c>
      <c r="E15" s="47"/>
      <c r="F15" s="44"/>
      <c r="G15" s="14"/>
      <c r="H15" s="10">
        <f t="shared" si="4"/>
        <v>359169</v>
      </c>
      <c r="I15" s="47"/>
      <c r="K15" s="14"/>
      <c r="L15" s="10">
        <f t="shared" si="5"/>
        <v>387903</v>
      </c>
      <c r="M15" s="47"/>
      <c r="O15" s="14"/>
      <c r="P15" s="10">
        <f t="shared" si="6"/>
        <v>418935</v>
      </c>
      <c r="Q15" s="47"/>
      <c r="S15" s="14"/>
      <c r="T15" s="10">
        <f t="shared" si="7"/>
        <v>452450</v>
      </c>
      <c r="U15" s="47"/>
    </row>
    <row r="16" spans="1:21" x14ac:dyDescent="0.25">
      <c r="B16" s="48" t="s">
        <v>22</v>
      </c>
      <c r="C16" s="14"/>
      <c r="D16" s="51">
        <v>9579425</v>
      </c>
      <c r="E16" s="47"/>
      <c r="F16" s="44"/>
      <c r="G16" s="14"/>
      <c r="H16" s="10">
        <f t="shared" si="4"/>
        <v>10345779</v>
      </c>
      <c r="I16" s="47"/>
      <c r="K16" s="14"/>
      <c r="L16" s="10">
        <f t="shared" si="5"/>
        <v>11173441</v>
      </c>
      <c r="M16" s="47"/>
      <c r="O16" s="14"/>
      <c r="P16" s="10">
        <f t="shared" si="6"/>
        <v>12067316</v>
      </c>
      <c r="Q16" s="47"/>
      <c r="S16" s="14"/>
      <c r="T16" s="10">
        <f t="shared" si="7"/>
        <v>13032701</v>
      </c>
      <c r="U16" s="47"/>
    </row>
    <row r="17" spans="1:30" x14ac:dyDescent="0.25">
      <c r="B17" s="48" t="s">
        <v>23</v>
      </c>
      <c r="C17" s="14"/>
      <c r="D17" s="2">
        <v>120000</v>
      </c>
      <c r="E17" s="47"/>
      <c r="F17" s="44"/>
      <c r="G17" s="14"/>
      <c r="H17" s="2">
        <f t="shared" si="4"/>
        <v>129600</v>
      </c>
      <c r="I17" s="47"/>
      <c r="K17" s="14"/>
      <c r="L17" s="2">
        <f t="shared" si="5"/>
        <v>139968</v>
      </c>
      <c r="M17" s="47"/>
      <c r="O17" s="14"/>
      <c r="P17" s="2">
        <f t="shared" si="6"/>
        <v>151165</v>
      </c>
      <c r="Q17" s="47"/>
      <c r="S17" s="14"/>
      <c r="T17" s="2">
        <f t="shared" si="7"/>
        <v>163258</v>
      </c>
      <c r="U17" s="47"/>
    </row>
    <row r="18" spans="1:30" ht="4.5" customHeight="1" x14ac:dyDescent="0.25">
      <c r="C18" s="14"/>
      <c r="D18" s="3"/>
      <c r="E18" s="47"/>
      <c r="F18" s="44"/>
      <c r="G18" s="14"/>
      <c r="H18" s="3"/>
      <c r="I18" s="47"/>
      <c r="K18" s="14"/>
      <c r="L18" s="3"/>
      <c r="M18" s="47"/>
      <c r="O18" s="14"/>
      <c r="P18" s="3"/>
      <c r="Q18" s="47"/>
      <c r="S18" s="14"/>
      <c r="T18" s="3"/>
      <c r="U18" s="47"/>
    </row>
    <row r="19" spans="1:30" x14ac:dyDescent="0.25">
      <c r="A19" s="45"/>
      <c r="B19" s="46" t="s">
        <v>3</v>
      </c>
      <c r="C19" s="15"/>
      <c r="D19" s="4">
        <v>110000</v>
      </c>
      <c r="E19" s="16">
        <f>+D19/$D$51</f>
        <v>6.3703267861817186E-3</v>
      </c>
      <c r="F19" s="44"/>
      <c r="G19" s="15"/>
      <c r="H19" s="4">
        <f t="shared" ref="H19" si="8">ROUND(D19*1.08,0)</f>
        <v>118800</v>
      </c>
      <c r="I19" s="16">
        <f>+H19/$H$51</f>
        <v>6.370326717863431E-3</v>
      </c>
      <c r="K19" s="15"/>
      <c r="L19" s="4">
        <f>ROUND(H19*1.08,0)</f>
        <v>128304</v>
      </c>
      <c r="M19" s="16">
        <f>+L19/$L$51</f>
        <v>6.3703270974094931E-3</v>
      </c>
      <c r="O19" s="15"/>
      <c r="P19" s="4">
        <f t="shared" ref="P19" si="9">ROUND(L19*1.08,0)</f>
        <v>138568</v>
      </c>
      <c r="Q19" s="16">
        <f>+P19/$P$51</f>
        <v>6.3703125267933272E-3</v>
      </c>
      <c r="S19" s="15"/>
      <c r="T19" s="4">
        <f t="shared" ref="T19" si="10">ROUND(P19*1.08,0)</f>
        <v>149653</v>
      </c>
      <c r="U19" s="16">
        <f>+T19/$T$51</f>
        <v>6.370293547798847E-3</v>
      </c>
    </row>
    <row r="20" spans="1:30" x14ac:dyDescent="0.25">
      <c r="A20" s="45"/>
      <c r="B20" s="46" t="s">
        <v>4</v>
      </c>
      <c r="C20" s="15"/>
      <c r="D20" s="4">
        <v>24000</v>
      </c>
      <c r="E20" s="16">
        <f>+D20/$D$51</f>
        <v>1.3898894806214659E-3</v>
      </c>
      <c r="F20" s="44"/>
      <c r="G20" s="15"/>
      <c r="H20" s="4">
        <f t="shared" ref="H20" si="11">ROUND(D20*1.08,0)</f>
        <v>25920</v>
      </c>
      <c r="I20" s="16">
        <f>+H20/$H$51</f>
        <v>1.3898894657156577E-3</v>
      </c>
      <c r="K20" s="15"/>
      <c r="L20" s="4">
        <f>ROUND(H20*1.08,0)</f>
        <v>27994</v>
      </c>
      <c r="M20" s="16">
        <f>+L20/$L$51</f>
        <v>1.3899094086301388E-3</v>
      </c>
      <c r="O20" s="15"/>
      <c r="P20" s="4">
        <f t="shared" ref="P20" si="12">ROUND(L20*1.08,0)</f>
        <v>30234</v>
      </c>
      <c r="Q20" s="16">
        <f>+P20/$P$51</f>
        <v>1.3899315060841569E-3</v>
      </c>
      <c r="S20" s="15"/>
      <c r="T20" s="4">
        <f t="shared" ref="T20" si="13">ROUND(P20*1.08,0)</f>
        <v>32653</v>
      </c>
      <c r="U20" s="16">
        <f>+T20/$T$51</f>
        <v>1.3899433704387867E-3</v>
      </c>
    </row>
    <row r="21" spans="1:30" hidden="1" x14ac:dyDescent="0.25">
      <c r="A21" s="45"/>
      <c r="B21" s="46" t="s">
        <v>5</v>
      </c>
      <c r="C21" s="15"/>
      <c r="D21" s="4">
        <v>0</v>
      </c>
      <c r="E21" s="16">
        <f>+D21/$D$51</f>
        <v>0</v>
      </c>
      <c r="F21" s="23"/>
      <c r="G21" s="15"/>
      <c r="H21" s="4">
        <f>D21*1.08</f>
        <v>0</v>
      </c>
      <c r="I21" s="16">
        <f>+H21/$H$51</f>
        <v>0</v>
      </c>
      <c r="K21" s="15"/>
      <c r="L21" s="4">
        <f>H21*1.08</f>
        <v>0</v>
      </c>
      <c r="M21" s="16">
        <f>+L21/$L$51</f>
        <v>0</v>
      </c>
      <c r="O21" s="15"/>
      <c r="P21" s="4">
        <f>L21*1.08</f>
        <v>0</v>
      </c>
      <c r="Q21" s="16">
        <f>+P21/$P$51</f>
        <v>0</v>
      </c>
      <c r="S21" s="15"/>
      <c r="T21" s="4">
        <f>P21*1.08</f>
        <v>0</v>
      </c>
      <c r="U21" s="16">
        <f>+T21/$T$51</f>
        <v>0</v>
      </c>
    </row>
    <row r="22" spans="1:30" hidden="1" x14ac:dyDescent="0.25">
      <c r="A22" s="45"/>
      <c r="B22" s="46" t="s">
        <v>6</v>
      </c>
      <c r="C22" s="15"/>
      <c r="D22" s="4">
        <v>0</v>
      </c>
      <c r="E22" s="16">
        <f>+D22/$D$51</f>
        <v>0</v>
      </c>
      <c r="F22" s="44"/>
      <c r="G22" s="15"/>
      <c r="H22" s="4">
        <f>D22*1.08</f>
        <v>0</v>
      </c>
      <c r="I22" s="16">
        <f>+H22/$H$51</f>
        <v>0</v>
      </c>
      <c r="K22" s="15"/>
      <c r="L22" s="4">
        <f>H22*1.08</f>
        <v>0</v>
      </c>
      <c r="M22" s="16">
        <f>+L22/$L$51</f>
        <v>0</v>
      </c>
      <c r="O22" s="15"/>
      <c r="P22" s="4">
        <f>L22*1.08</f>
        <v>0</v>
      </c>
      <c r="Q22" s="16">
        <f>+P22/$P$51</f>
        <v>0</v>
      </c>
      <c r="S22" s="15"/>
      <c r="T22" s="4">
        <f>P22*1.08</f>
        <v>0</v>
      </c>
      <c r="U22" s="16">
        <f>+T22/$T$51</f>
        <v>0</v>
      </c>
    </row>
    <row r="23" spans="1:30" ht="4.5" customHeight="1" x14ac:dyDescent="0.25">
      <c r="A23" s="45"/>
      <c r="B23" s="46"/>
      <c r="C23" s="15"/>
      <c r="D23" s="4"/>
      <c r="E23" s="16"/>
      <c r="F23" s="44"/>
      <c r="G23" s="15"/>
      <c r="H23" s="4"/>
      <c r="I23" s="16"/>
      <c r="K23" s="15"/>
      <c r="L23" s="4"/>
      <c r="M23" s="16"/>
      <c r="O23" s="15"/>
      <c r="P23" s="4"/>
      <c r="Q23" s="16"/>
      <c r="S23" s="15"/>
      <c r="T23" s="4"/>
      <c r="U23" s="16"/>
    </row>
    <row r="24" spans="1:30" x14ac:dyDescent="0.25">
      <c r="A24" s="45"/>
      <c r="B24" s="46" t="s">
        <v>27</v>
      </c>
      <c r="C24" s="15"/>
      <c r="D24" s="4">
        <f>SUM(D25:D41)</f>
        <v>828737</v>
      </c>
      <c r="E24" s="16">
        <f>+D24/$D$51</f>
        <v>4.7993868270907993E-2</v>
      </c>
      <c r="F24" s="23"/>
      <c r="G24" s="15"/>
      <c r="H24" s="4">
        <f>SUM(H25:H41)</f>
        <v>895035</v>
      </c>
      <c r="I24" s="16">
        <f>+H24/$H$51</f>
        <v>4.7993816278812253E-2</v>
      </c>
      <c r="K24" s="15"/>
      <c r="L24" s="4">
        <f>SUM(L25:L41)</f>
        <v>966637</v>
      </c>
      <c r="M24" s="16">
        <f>+L24/$L$51</f>
        <v>4.799377941809E-2</v>
      </c>
      <c r="O24" s="15"/>
      <c r="P24" s="4">
        <f>SUM(P25:P41)</f>
        <v>1043968</v>
      </c>
      <c r="Q24" s="16">
        <f>+P24/$P$51</f>
        <v>4.7993782316056929E-2</v>
      </c>
      <c r="S24" s="15"/>
      <c r="T24" s="4">
        <f>SUM(T25:T41)</f>
        <v>1127487</v>
      </c>
      <c r="U24" s="16">
        <f>+T24/$T$51</f>
        <v>4.7993846841206514E-2</v>
      </c>
    </row>
    <row r="25" spans="1:30" x14ac:dyDescent="0.25">
      <c r="A25" s="52"/>
      <c r="B25" s="48" t="s">
        <v>17</v>
      </c>
      <c r="C25" s="17"/>
      <c r="D25" s="5">
        <v>224752</v>
      </c>
      <c r="E25" s="18"/>
      <c r="F25" s="44"/>
      <c r="G25" s="17"/>
      <c r="H25" s="1">
        <f t="shared" ref="H25:H41" si="14">ROUND(D25*1.08,0)</f>
        <v>242732</v>
      </c>
      <c r="I25" s="18"/>
      <c r="K25" s="17"/>
      <c r="L25" s="1">
        <f t="shared" ref="L25:L41" si="15">ROUND(H25*1.08,0)</f>
        <v>262151</v>
      </c>
      <c r="M25" s="18"/>
      <c r="O25" s="17"/>
      <c r="P25" s="1">
        <f t="shared" ref="P25:P41" si="16">ROUND(L25*1.08,0)</f>
        <v>283123</v>
      </c>
      <c r="Q25" s="18"/>
      <c r="S25" s="17"/>
      <c r="T25" s="1">
        <f t="shared" ref="T25:T41" si="17">ROUND(P25*1.08,0)</f>
        <v>305773</v>
      </c>
      <c r="U25" s="18"/>
    </row>
    <row r="26" spans="1:30" x14ac:dyDescent="0.25">
      <c r="A26" s="52"/>
      <c r="B26" s="53" t="s">
        <v>44</v>
      </c>
      <c r="C26" s="17"/>
      <c r="D26" s="6">
        <v>16384</v>
      </c>
      <c r="E26" s="18"/>
      <c r="F26" s="44"/>
      <c r="G26" s="17"/>
      <c r="H26" s="10">
        <f t="shared" si="14"/>
        <v>17695</v>
      </c>
      <c r="I26" s="18"/>
      <c r="K26" s="17"/>
      <c r="L26" s="10">
        <f t="shared" si="15"/>
        <v>19111</v>
      </c>
      <c r="M26" s="18"/>
      <c r="O26" s="17"/>
      <c r="P26" s="10">
        <f t="shared" si="16"/>
        <v>20640</v>
      </c>
      <c r="Q26" s="18"/>
      <c r="S26" s="17"/>
      <c r="T26" s="10">
        <f t="shared" si="17"/>
        <v>22291</v>
      </c>
      <c r="U26" s="18"/>
    </row>
    <row r="27" spans="1:30" x14ac:dyDescent="0.25">
      <c r="A27" s="52"/>
      <c r="B27" s="53" t="s">
        <v>31</v>
      </c>
      <c r="C27" s="17"/>
      <c r="D27" s="6">
        <v>19662</v>
      </c>
      <c r="E27" s="18"/>
      <c r="F27" s="44"/>
      <c r="G27" s="17"/>
      <c r="H27" s="10">
        <f t="shared" si="14"/>
        <v>21235</v>
      </c>
      <c r="I27" s="18"/>
      <c r="K27" s="17"/>
      <c r="L27" s="10">
        <f t="shared" si="15"/>
        <v>22934</v>
      </c>
      <c r="M27" s="18"/>
      <c r="O27" s="17"/>
      <c r="P27" s="10">
        <f t="shared" si="16"/>
        <v>24769</v>
      </c>
      <c r="Q27" s="18"/>
      <c r="S27" s="17"/>
      <c r="T27" s="10">
        <f t="shared" si="17"/>
        <v>26751</v>
      </c>
      <c r="U27" s="18"/>
      <c r="AD27" s="54"/>
    </row>
    <row r="28" spans="1:30" x14ac:dyDescent="0.25">
      <c r="A28" s="52"/>
      <c r="B28" s="53" t="s">
        <v>34</v>
      </c>
      <c r="C28" s="17"/>
      <c r="D28" s="6">
        <v>50965</v>
      </c>
      <c r="E28" s="18"/>
      <c r="F28" s="44"/>
      <c r="G28" s="17"/>
      <c r="H28" s="10">
        <f t="shared" si="14"/>
        <v>55042</v>
      </c>
      <c r="I28" s="18"/>
      <c r="K28" s="17"/>
      <c r="L28" s="10">
        <f t="shared" si="15"/>
        <v>59445</v>
      </c>
      <c r="M28" s="18"/>
      <c r="O28" s="17"/>
      <c r="P28" s="10">
        <f t="shared" si="16"/>
        <v>64201</v>
      </c>
      <c r="Q28" s="18"/>
      <c r="S28" s="17"/>
      <c r="T28" s="10">
        <f t="shared" si="17"/>
        <v>69337</v>
      </c>
      <c r="U28" s="18"/>
    </row>
    <row r="29" spans="1:30" x14ac:dyDescent="0.25">
      <c r="A29" s="52"/>
      <c r="B29" s="48" t="s">
        <v>18</v>
      </c>
      <c r="C29" s="17"/>
      <c r="D29" s="6">
        <v>7963</v>
      </c>
      <c r="E29" s="18"/>
      <c r="F29" s="44"/>
      <c r="G29" s="17"/>
      <c r="H29" s="10">
        <f t="shared" si="14"/>
        <v>8600</v>
      </c>
      <c r="I29" s="18"/>
      <c r="K29" s="17"/>
      <c r="L29" s="10">
        <f t="shared" si="15"/>
        <v>9288</v>
      </c>
      <c r="M29" s="18"/>
      <c r="O29" s="17"/>
      <c r="P29" s="10">
        <f t="shared" si="16"/>
        <v>10031</v>
      </c>
      <c r="Q29" s="18"/>
      <c r="S29" s="17"/>
      <c r="T29" s="10">
        <f t="shared" si="17"/>
        <v>10833</v>
      </c>
      <c r="U29" s="18"/>
    </row>
    <row r="30" spans="1:30" x14ac:dyDescent="0.25">
      <c r="A30" s="52"/>
      <c r="B30" s="53" t="s">
        <v>45</v>
      </c>
      <c r="C30" s="17"/>
      <c r="D30" s="6">
        <v>8575</v>
      </c>
      <c r="E30" s="18"/>
      <c r="F30" s="44"/>
      <c r="G30" s="17"/>
      <c r="H30" s="10">
        <f t="shared" si="14"/>
        <v>9261</v>
      </c>
      <c r="I30" s="18"/>
      <c r="K30" s="17"/>
      <c r="L30" s="10">
        <f t="shared" si="15"/>
        <v>10002</v>
      </c>
      <c r="M30" s="18"/>
      <c r="O30" s="17"/>
      <c r="P30" s="10">
        <f t="shared" si="16"/>
        <v>10802</v>
      </c>
      <c r="Q30" s="18"/>
      <c r="S30" s="17"/>
      <c r="T30" s="10">
        <f t="shared" si="17"/>
        <v>11666</v>
      </c>
      <c r="U30" s="18"/>
    </row>
    <row r="31" spans="1:30" x14ac:dyDescent="0.25">
      <c r="A31" s="52"/>
      <c r="B31" s="48" t="s">
        <v>37</v>
      </c>
      <c r="C31" s="17"/>
      <c r="D31" s="6">
        <v>53500</v>
      </c>
      <c r="E31" s="18"/>
      <c r="F31" s="44"/>
      <c r="G31" s="17"/>
      <c r="H31" s="10">
        <f t="shared" si="14"/>
        <v>57780</v>
      </c>
      <c r="I31" s="18"/>
      <c r="K31" s="17"/>
      <c r="L31" s="10">
        <f t="shared" si="15"/>
        <v>62402</v>
      </c>
      <c r="M31" s="18"/>
      <c r="O31" s="17"/>
      <c r="P31" s="10">
        <f t="shared" si="16"/>
        <v>67394</v>
      </c>
      <c r="Q31" s="18"/>
      <c r="S31" s="17"/>
      <c r="T31" s="10">
        <f t="shared" si="17"/>
        <v>72786</v>
      </c>
      <c r="U31" s="18"/>
    </row>
    <row r="32" spans="1:30" x14ac:dyDescent="0.25">
      <c r="A32" s="52"/>
      <c r="B32" s="48" t="s">
        <v>25</v>
      </c>
      <c r="C32" s="17"/>
      <c r="D32" s="6">
        <v>52201</v>
      </c>
      <c r="E32" s="18"/>
      <c r="F32" s="44"/>
      <c r="G32" s="17"/>
      <c r="H32" s="10">
        <f t="shared" si="14"/>
        <v>56377</v>
      </c>
      <c r="I32" s="18"/>
      <c r="K32" s="17"/>
      <c r="L32" s="10">
        <f t="shared" si="15"/>
        <v>60887</v>
      </c>
      <c r="M32" s="18"/>
      <c r="O32" s="17"/>
      <c r="P32" s="10">
        <f t="shared" si="16"/>
        <v>65758</v>
      </c>
      <c r="Q32" s="18"/>
      <c r="S32" s="17"/>
      <c r="T32" s="10">
        <f t="shared" si="17"/>
        <v>71019</v>
      </c>
      <c r="U32" s="18"/>
    </row>
    <row r="33" spans="1:21" x14ac:dyDescent="0.25">
      <c r="A33" s="52"/>
      <c r="B33" s="53" t="s">
        <v>32</v>
      </c>
      <c r="C33" s="17"/>
      <c r="D33" s="6">
        <v>73505</v>
      </c>
      <c r="E33" s="18"/>
      <c r="F33" s="44"/>
      <c r="G33" s="17"/>
      <c r="H33" s="10">
        <f t="shared" si="14"/>
        <v>79385</v>
      </c>
      <c r="I33" s="18"/>
      <c r="K33" s="17"/>
      <c r="L33" s="10">
        <f t="shared" si="15"/>
        <v>85736</v>
      </c>
      <c r="M33" s="18"/>
      <c r="O33" s="17"/>
      <c r="P33" s="10">
        <f t="shared" si="16"/>
        <v>92595</v>
      </c>
      <c r="Q33" s="18"/>
      <c r="S33" s="17"/>
      <c r="T33" s="10">
        <f t="shared" si="17"/>
        <v>100003</v>
      </c>
      <c r="U33" s="18"/>
    </row>
    <row r="34" spans="1:21" x14ac:dyDescent="0.25">
      <c r="A34" s="52"/>
      <c r="B34" s="53" t="s">
        <v>38</v>
      </c>
      <c r="C34" s="17"/>
      <c r="D34" s="6">
        <v>44100</v>
      </c>
      <c r="E34" s="18"/>
      <c r="F34" s="44"/>
      <c r="G34" s="17"/>
      <c r="H34" s="10">
        <f t="shared" si="14"/>
        <v>47628</v>
      </c>
      <c r="I34" s="18"/>
      <c r="K34" s="17"/>
      <c r="L34" s="10">
        <f t="shared" si="15"/>
        <v>51438</v>
      </c>
      <c r="M34" s="18"/>
      <c r="O34" s="17"/>
      <c r="P34" s="10">
        <f t="shared" si="16"/>
        <v>55553</v>
      </c>
      <c r="Q34" s="18"/>
      <c r="S34" s="17"/>
      <c r="T34" s="10">
        <f t="shared" si="17"/>
        <v>59997</v>
      </c>
      <c r="U34" s="18"/>
    </row>
    <row r="35" spans="1:21" x14ac:dyDescent="0.25">
      <c r="A35" s="52"/>
      <c r="B35" s="53" t="s">
        <v>33</v>
      </c>
      <c r="C35" s="17"/>
      <c r="D35" s="6">
        <v>55130</v>
      </c>
      <c r="E35" s="18"/>
      <c r="F35" s="44"/>
      <c r="G35" s="17"/>
      <c r="H35" s="10">
        <f t="shared" si="14"/>
        <v>59540</v>
      </c>
      <c r="I35" s="18"/>
      <c r="K35" s="17"/>
      <c r="L35" s="10">
        <f t="shared" si="15"/>
        <v>64303</v>
      </c>
      <c r="M35" s="18"/>
      <c r="O35" s="17"/>
      <c r="P35" s="10">
        <f t="shared" si="16"/>
        <v>69447</v>
      </c>
      <c r="Q35" s="18"/>
      <c r="S35" s="17"/>
      <c r="T35" s="10">
        <f t="shared" si="17"/>
        <v>75003</v>
      </c>
      <c r="U35" s="18"/>
    </row>
    <row r="36" spans="1:21" x14ac:dyDescent="0.25">
      <c r="A36" s="52"/>
      <c r="B36" s="53" t="s">
        <v>72</v>
      </c>
      <c r="C36" s="17"/>
      <c r="D36" s="6">
        <v>0</v>
      </c>
      <c r="E36" s="18"/>
      <c r="F36" s="44"/>
      <c r="G36" s="17"/>
      <c r="H36" s="10">
        <f t="shared" si="14"/>
        <v>0</v>
      </c>
      <c r="I36" s="18"/>
      <c r="K36" s="17"/>
      <c r="L36" s="10">
        <f t="shared" si="15"/>
        <v>0</v>
      </c>
      <c r="M36" s="18"/>
      <c r="O36" s="17"/>
      <c r="P36" s="10">
        <f t="shared" si="16"/>
        <v>0</v>
      </c>
      <c r="Q36" s="18"/>
      <c r="S36" s="17"/>
      <c r="T36" s="10">
        <f t="shared" si="17"/>
        <v>0</v>
      </c>
      <c r="U36" s="18"/>
    </row>
    <row r="37" spans="1:21" x14ac:dyDescent="0.25">
      <c r="A37" s="52"/>
      <c r="B37" s="53" t="s">
        <v>73</v>
      </c>
      <c r="C37" s="17"/>
      <c r="D37" s="55">
        <v>0</v>
      </c>
      <c r="E37" s="18"/>
      <c r="F37" s="44"/>
      <c r="G37" s="17"/>
      <c r="H37" s="10">
        <f t="shared" si="14"/>
        <v>0</v>
      </c>
      <c r="I37" s="18"/>
      <c r="K37" s="17"/>
      <c r="L37" s="10">
        <f t="shared" si="15"/>
        <v>0</v>
      </c>
      <c r="M37" s="18"/>
      <c r="O37" s="17"/>
      <c r="P37" s="10">
        <f t="shared" si="16"/>
        <v>0</v>
      </c>
      <c r="Q37" s="18"/>
      <c r="S37" s="17"/>
      <c r="T37" s="10">
        <f t="shared" si="17"/>
        <v>0</v>
      </c>
      <c r="U37" s="18"/>
    </row>
    <row r="38" spans="1:21" x14ac:dyDescent="0.25">
      <c r="A38" s="52"/>
      <c r="B38" s="53" t="s">
        <v>41</v>
      </c>
      <c r="C38" s="17"/>
      <c r="D38" s="6">
        <v>150000</v>
      </c>
      <c r="E38" s="18"/>
      <c r="F38" s="44"/>
      <c r="G38" s="17"/>
      <c r="H38" s="10">
        <f t="shared" si="14"/>
        <v>162000</v>
      </c>
      <c r="I38" s="18"/>
      <c r="K38" s="17"/>
      <c r="L38" s="10">
        <f t="shared" si="15"/>
        <v>174960</v>
      </c>
      <c r="M38" s="18"/>
      <c r="O38" s="17"/>
      <c r="P38" s="10">
        <f t="shared" si="16"/>
        <v>188957</v>
      </c>
      <c r="Q38" s="18"/>
      <c r="S38" s="17"/>
      <c r="T38" s="10">
        <f t="shared" si="17"/>
        <v>204074</v>
      </c>
      <c r="U38" s="18"/>
    </row>
    <row r="39" spans="1:21" hidden="1" x14ac:dyDescent="0.25">
      <c r="A39" s="52"/>
      <c r="B39" s="53" t="s">
        <v>70</v>
      </c>
      <c r="C39" s="17"/>
      <c r="D39" s="6">
        <v>0</v>
      </c>
      <c r="E39" s="18"/>
      <c r="F39" s="44"/>
      <c r="G39" s="17"/>
      <c r="H39" s="10">
        <f t="shared" si="14"/>
        <v>0</v>
      </c>
      <c r="I39" s="18"/>
      <c r="K39" s="17"/>
      <c r="L39" s="10">
        <f t="shared" si="15"/>
        <v>0</v>
      </c>
      <c r="M39" s="18"/>
      <c r="O39" s="17"/>
      <c r="P39" s="10">
        <f t="shared" si="16"/>
        <v>0</v>
      </c>
      <c r="Q39" s="18"/>
      <c r="S39" s="17"/>
      <c r="T39" s="10">
        <f t="shared" si="17"/>
        <v>0</v>
      </c>
      <c r="U39" s="18"/>
    </row>
    <row r="40" spans="1:21" x14ac:dyDescent="0.25">
      <c r="A40" s="52"/>
      <c r="B40" s="53" t="s">
        <v>64</v>
      </c>
      <c r="C40" s="17"/>
      <c r="D40" s="6">
        <v>36000</v>
      </c>
      <c r="E40" s="18"/>
      <c r="F40" s="44"/>
      <c r="G40" s="17"/>
      <c r="H40" s="10">
        <f t="shared" si="14"/>
        <v>38880</v>
      </c>
      <c r="I40" s="18"/>
      <c r="K40" s="17"/>
      <c r="L40" s="10">
        <f t="shared" si="15"/>
        <v>41990</v>
      </c>
      <c r="M40" s="18"/>
      <c r="O40" s="17"/>
      <c r="P40" s="10">
        <f t="shared" si="16"/>
        <v>45349</v>
      </c>
      <c r="Q40" s="18"/>
      <c r="S40" s="17"/>
      <c r="T40" s="10">
        <f t="shared" si="17"/>
        <v>48977</v>
      </c>
      <c r="U40" s="18"/>
    </row>
    <row r="41" spans="1:21" x14ac:dyDescent="0.25">
      <c r="A41" s="52"/>
      <c r="B41" s="53" t="s">
        <v>63</v>
      </c>
      <c r="C41" s="17"/>
      <c r="D41" s="7">
        <v>36000</v>
      </c>
      <c r="E41" s="18"/>
      <c r="F41" s="44"/>
      <c r="G41" s="17"/>
      <c r="H41" s="2">
        <f t="shared" si="14"/>
        <v>38880</v>
      </c>
      <c r="I41" s="18"/>
      <c r="K41" s="17"/>
      <c r="L41" s="2">
        <f t="shared" si="15"/>
        <v>41990</v>
      </c>
      <c r="M41" s="18"/>
      <c r="O41" s="17"/>
      <c r="P41" s="2">
        <f t="shared" si="16"/>
        <v>45349</v>
      </c>
      <c r="Q41" s="18"/>
      <c r="S41" s="17"/>
      <c r="T41" s="2">
        <f t="shared" si="17"/>
        <v>48977</v>
      </c>
      <c r="U41" s="18"/>
    </row>
    <row r="42" spans="1:21" ht="6" customHeight="1" x14ac:dyDescent="0.25">
      <c r="A42" s="52"/>
      <c r="B42" s="48"/>
      <c r="C42" s="17"/>
      <c r="D42" s="8"/>
      <c r="E42" s="18"/>
      <c r="F42" s="23"/>
      <c r="G42" s="17"/>
      <c r="H42" s="8"/>
      <c r="I42" s="18"/>
      <c r="K42" s="17"/>
      <c r="L42" s="8"/>
      <c r="M42" s="18"/>
      <c r="O42" s="17"/>
      <c r="P42" s="8"/>
      <c r="Q42" s="18"/>
      <c r="S42" s="17"/>
      <c r="T42" s="8"/>
      <c r="U42" s="18"/>
    </row>
    <row r="43" spans="1:21" x14ac:dyDescent="0.25">
      <c r="A43" s="45"/>
      <c r="B43" s="46" t="s">
        <v>26</v>
      </c>
      <c r="C43" s="17"/>
      <c r="D43" s="4">
        <f>SUM(D44:D47)</f>
        <v>39875</v>
      </c>
      <c r="E43" s="16">
        <f>D43/D51</f>
        <v>2.309243459990873E-3</v>
      </c>
      <c r="F43" s="23"/>
      <c r="G43" s="17"/>
      <c r="H43" s="4">
        <f>SUM(H44:H47)</f>
        <v>43067</v>
      </c>
      <c r="I43" s="16">
        <f>H43/H51</f>
        <v>2.3093506797830336E-3</v>
      </c>
      <c r="K43" s="17"/>
      <c r="L43" s="4">
        <f>SUM(L44:L47)</f>
        <v>46512</v>
      </c>
      <c r="M43" s="16">
        <f>L43/L51</f>
        <v>2.3093329432808821E-3</v>
      </c>
      <c r="O43" s="17"/>
      <c r="P43" s="4">
        <f>SUM(P44:P47)</f>
        <v>50233</v>
      </c>
      <c r="Q43" s="16">
        <f>P43/P51</f>
        <v>2.3093348331390305E-3</v>
      </c>
      <c r="S43" s="17"/>
      <c r="T43" s="4">
        <f>SUM(T44:T47)</f>
        <v>54252</v>
      </c>
      <c r="U43" s="16">
        <f>T43/T51</f>
        <v>2.3093500668558802E-3</v>
      </c>
    </row>
    <row r="44" spans="1:21" x14ac:dyDescent="0.25">
      <c r="A44" s="52"/>
      <c r="B44" s="48" t="s">
        <v>7</v>
      </c>
      <c r="C44" s="17"/>
      <c r="D44" s="1">
        <v>6555</v>
      </c>
      <c r="E44" s="18"/>
      <c r="F44" s="23"/>
      <c r="G44" s="17"/>
      <c r="H44" s="1">
        <f t="shared" ref="H44:H45" si="18">ROUND(D44*1.08,0)</f>
        <v>7079</v>
      </c>
      <c r="I44" s="18"/>
      <c r="K44" s="17"/>
      <c r="L44" s="1">
        <f t="shared" ref="L44:L45" si="19">ROUND(H44*1.08,0)</f>
        <v>7645</v>
      </c>
      <c r="M44" s="18"/>
      <c r="O44" s="17"/>
      <c r="P44" s="1">
        <f t="shared" ref="P44:P46" si="20">ROUND(L44*1.08,0)</f>
        <v>8257</v>
      </c>
      <c r="Q44" s="18"/>
      <c r="S44" s="17"/>
      <c r="T44" s="1">
        <f t="shared" ref="T44:T46" si="21">ROUND(P44*1.08,0)</f>
        <v>8918</v>
      </c>
      <c r="U44" s="18"/>
    </row>
    <row r="45" spans="1:21" x14ac:dyDescent="0.25">
      <c r="A45" s="52"/>
      <c r="B45" s="48" t="s">
        <v>8</v>
      </c>
      <c r="C45" s="17"/>
      <c r="D45" s="11">
        <v>13110</v>
      </c>
      <c r="E45" s="18"/>
      <c r="F45" s="23"/>
      <c r="G45" s="17"/>
      <c r="H45" s="10">
        <f t="shared" si="18"/>
        <v>14159</v>
      </c>
      <c r="I45" s="18"/>
      <c r="K45" s="17"/>
      <c r="L45" s="10">
        <f t="shared" si="19"/>
        <v>15292</v>
      </c>
      <c r="M45" s="18"/>
      <c r="O45" s="17"/>
      <c r="P45" s="10">
        <f t="shared" si="20"/>
        <v>16515</v>
      </c>
      <c r="Q45" s="18"/>
      <c r="S45" s="17"/>
      <c r="T45" s="10">
        <f t="shared" si="21"/>
        <v>17836</v>
      </c>
      <c r="U45" s="18"/>
    </row>
    <row r="46" spans="1:21" x14ac:dyDescent="0.25">
      <c r="A46" s="52"/>
      <c r="B46" s="48" t="s">
        <v>28</v>
      </c>
      <c r="C46" s="17"/>
      <c r="D46" s="10">
        <v>20210</v>
      </c>
      <c r="E46" s="18"/>
      <c r="F46" s="23"/>
      <c r="G46" s="17"/>
      <c r="H46" s="10">
        <f>ROUND(D46*1.08,0)+2</f>
        <v>21829</v>
      </c>
      <c r="I46" s="18"/>
      <c r="K46" s="17"/>
      <c r="L46" s="10">
        <f>ROUND(H46*1.08,0)</f>
        <v>23575</v>
      </c>
      <c r="M46" s="18"/>
      <c r="O46" s="17"/>
      <c r="P46" s="10">
        <f t="shared" si="20"/>
        <v>25461</v>
      </c>
      <c r="Q46" s="18"/>
      <c r="S46" s="17"/>
      <c r="T46" s="10">
        <f t="shared" si="21"/>
        <v>27498</v>
      </c>
      <c r="U46" s="18"/>
    </row>
    <row r="47" spans="1:21" ht="1.5" customHeight="1" x14ac:dyDescent="0.25">
      <c r="A47" s="52"/>
      <c r="B47" s="56" t="s">
        <v>42</v>
      </c>
      <c r="C47" s="17"/>
      <c r="D47" s="2"/>
      <c r="E47" s="18"/>
      <c r="F47" s="23"/>
      <c r="G47" s="17"/>
      <c r="H47" s="2"/>
      <c r="I47" s="18"/>
      <c r="K47" s="17"/>
      <c r="L47" s="2"/>
      <c r="M47" s="18"/>
      <c r="O47" s="17"/>
      <c r="P47" s="2"/>
      <c r="Q47" s="18"/>
      <c r="S47" s="17"/>
      <c r="T47" s="2"/>
      <c r="U47" s="18"/>
    </row>
    <row r="48" spans="1:21" ht="6.75" customHeight="1" x14ac:dyDescent="0.25">
      <c r="A48" s="52"/>
      <c r="B48" s="48"/>
      <c r="C48" s="17"/>
      <c r="D48" s="8"/>
      <c r="E48" s="18"/>
      <c r="F48" s="23"/>
      <c r="G48" s="17"/>
      <c r="H48" s="8"/>
      <c r="I48" s="18"/>
      <c r="K48" s="17"/>
      <c r="L48" s="8"/>
      <c r="M48" s="18"/>
      <c r="O48" s="17"/>
      <c r="P48" s="8"/>
      <c r="Q48" s="18"/>
      <c r="S48" s="17"/>
      <c r="T48" s="8"/>
      <c r="U48" s="18"/>
    </row>
    <row r="49" spans="1:21" x14ac:dyDescent="0.25">
      <c r="A49" s="45"/>
      <c r="B49" s="46" t="s">
        <v>19</v>
      </c>
      <c r="C49" s="17"/>
      <c r="D49" s="9">
        <f>ROUND(((D24-D36-D37)+D43+D21+D20+D19+D12+D8+D57+D58)/97*3,0)</f>
        <v>518027</v>
      </c>
      <c r="E49" s="16">
        <f>+D49/$D$51</f>
        <v>3.0000011582412337E-2</v>
      </c>
      <c r="F49" s="23"/>
      <c r="G49" s="17"/>
      <c r="H49" s="9">
        <f>ROUND(((H24-H36-H37)+H43+H21+H20+H19+H12+H8+H57+H58)/97*3,0)</f>
        <v>559469</v>
      </c>
      <c r="I49" s="16">
        <f>+H49/$H$51</f>
        <v>3.0000002681113937E-2</v>
      </c>
      <c r="K49" s="17"/>
      <c r="L49" s="9">
        <f>ROUND(((L24-L36-L37)+L43+L21+L20+L19+L12+L8+L57+L58)/97*3,0)</f>
        <v>604226</v>
      </c>
      <c r="M49" s="16">
        <f>+L49/$L$51</f>
        <v>2.9999978650387737E-2</v>
      </c>
      <c r="O49" s="17"/>
      <c r="P49" s="9">
        <f>ROUND(((P24-P36-P37)+P43+P21+P20+P19+P12+P8+P57+P58)/97*3,0)</f>
        <v>652565</v>
      </c>
      <c r="Q49" s="16">
        <f>+P49/$P$51</f>
        <v>3.0000021607058537E-2</v>
      </c>
      <c r="S49" s="17"/>
      <c r="T49" s="9">
        <f>ROUND(((T24-T36-T37)+T43+T21+T20+T19+T12+T8+T57+T58)/97*3,0)</f>
        <v>704770</v>
      </c>
      <c r="U49" s="16">
        <f>+T49/$T$51</f>
        <v>3.0000011918786748E-2</v>
      </c>
    </row>
    <row r="50" spans="1:21" ht="10.35" customHeight="1" thickBot="1" x14ac:dyDescent="0.3">
      <c r="A50" s="57"/>
      <c r="C50" s="14"/>
      <c r="D50" s="4"/>
      <c r="E50" s="47"/>
      <c r="F50" s="42"/>
      <c r="G50" s="14"/>
      <c r="H50" s="4"/>
      <c r="I50" s="47"/>
      <c r="K50" s="14"/>
      <c r="L50" s="4"/>
      <c r="M50" s="47"/>
      <c r="O50" s="14"/>
      <c r="P50" s="4"/>
      <c r="Q50" s="47"/>
      <c r="S50" s="14"/>
      <c r="T50" s="4"/>
      <c r="U50" s="47"/>
    </row>
    <row r="51" spans="1:21" ht="13.8" thickBot="1" x14ac:dyDescent="0.3">
      <c r="A51" s="45"/>
      <c r="B51" s="46" t="s">
        <v>9</v>
      </c>
      <c r="C51" s="15"/>
      <c r="D51" s="12">
        <f>+D22+D21+D20+D19+D12+D8+D24+D49+D43</f>
        <v>17267560</v>
      </c>
      <c r="E51" s="58">
        <f>SUM(E8:E50)</f>
        <v>1</v>
      </c>
      <c r="F51" s="42"/>
      <c r="G51" s="15"/>
      <c r="H51" s="12">
        <f>+H22+H21+H20+H19+H12+H8+H24+H49+H43</f>
        <v>18648965</v>
      </c>
      <c r="I51" s="58">
        <f>SUM(I8:I50)</f>
        <v>0.99999999999999989</v>
      </c>
      <c r="K51" s="15"/>
      <c r="L51" s="12">
        <f>+L22+L21+L20+L19+L12+L8+L24+L49+L43</f>
        <v>20140881</v>
      </c>
      <c r="M51" s="58">
        <f>SUM(M8:M50)</f>
        <v>1</v>
      </c>
      <c r="O51" s="15"/>
      <c r="P51" s="12">
        <f>+P22+P21+P20+P19+P12+P8+P24+P49+P43</f>
        <v>21752151</v>
      </c>
      <c r="Q51" s="58">
        <f>SUM(Q8:Q50)</f>
        <v>0.99999999999999978</v>
      </c>
      <c r="S51" s="15"/>
      <c r="T51" s="12">
        <f>+T22+T21+T20+T19+T12+T8+T24+T49+T43</f>
        <v>23492324</v>
      </c>
      <c r="U51" s="58">
        <f>SUM(U8:U50)</f>
        <v>0.99999999999999989</v>
      </c>
    </row>
    <row r="52" spans="1:21" ht="10.35" customHeight="1" thickBot="1" x14ac:dyDescent="0.3">
      <c r="C52" s="19"/>
      <c r="D52" s="13"/>
      <c r="E52" s="20"/>
      <c r="F52" s="42"/>
      <c r="G52" s="19"/>
      <c r="H52" s="13"/>
      <c r="I52" s="20"/>
      <c r="K52" s="19"/>
      <c r="L52" s="13"/>
      <c r="M52" s="20"/>
      <c r="O52" s="19"/>
      <c r="P52" s="13"/>
      <c r="Q52" s="20"/>
      <c r="S52" s="19"/>
      <c r="T52" s="13"/>
      <c r="U52" s="20"/>
    </row>
    <row r="53" spans="1:21" ht="10.35" customHeight="1" thickBot="1" x14ac:dyDescent="0.3">
      <c r="C53" s="21"/>
      <c r="D53" s="59"/>
      <c r="E53" s="21"/>
      <c r="F53" s="42"/>
      <c r="G53" s="21"/>
      <c r="H53" s="59"/>
      <c r="I53" s="21"/>
      <c r="K53" s="21"/>
      <c r="L53" s="59"/>
      <c r="M53" s="21"/>
      <c r="O53" s="21"/>
      <c r="P53" s="59"/>
      <c r="Q53" s="21"/>
      <c r="S53" s="21"/>
      <c r="T53" s="59"/>
      <c r="U53" s="21"/>
    </row>
    <row r="54" spans="1:21" ht="16.5" customHeight="1" x14ac:dyDescent="0.3">
      <c r="B54" s="60" t="s">
        <v>10</v>
      </c>
      <c r="C54" s="61"/>
      <c r="D54" s="36" t="s">
        <v>29</v>
      </c>
      <c r="E54" s="62" t="s">
        <v>13</v>
      </c>
      <c r="F54" s="63" t="s">
        <v>13</v>
      </c>
      <c r="G54" s="64"/>
      <c r="H54" s="36" t="s">
        <v>29</v>
      </c>
      <c r="I54" s="62"/>
      <c r="J54" s="40"/>
      <c r="K54" s="64"/>
      <c r="L54" s="36" t="s">
        <v>29</v>
      </c>
      <c r="M54" s="62"/>
      <c r="N54" s="40"/>
      <c r="O54" s="64"/>
      <c r="P54" s="36" t="s">
        <v>29</v>
      </c>
      <c r="Q54" s="62"/>
      <c r="R54" s="40"/>
      <c r="S54" s="64"/>
      <c r="T54" s="36" t="s">
        <v>29</v>
      </c>
      <c r="U54" s="65"/>
    </row>
    <row r="55" spans="1:21" ht="10.35" customHeight="1" x14ac:dyDescent="0.25">
      <c r="C55" s="14"/>
      <c r="D55" s="3"/>
      <c r="E55" s="66"/>
      <c r="G55" s="14"/>
      <c r="H55" s="3"/>
      <c r="I55" s="66"/>
      <c r="K55" s="14"/>
      <c r="L55" s="3"/>
      <c r="M55" s="66"/>
      <c r="O55" s="14"/>
      <c r="P55" s="3"/>
      <c r="Q55" s="66"/>
      <c r="S55" s="14"/>
      <c r="T55" s="3"/>
      <c r="U55" s="66"/>
    </row>
    <row r="56" spans="1:21" x14ac:dyDescent="0.25">
      <c r="A56" s="45"/>
      <c r="B56" s="46" t="s">
        <v>43</v>
      </c>
      <c r="C56" s="15"/>
      <c r="D56" s="68">
        <v>-17267560</v>
      </c>
      <c r="E56" s="174">
        <f>D56/D60</f>
        <v>1</v>
      </c>
      <c r="G56" s="14"/>
      <c r="H56" s="68">
        <v>-18648965</v>
      </c>
      <c r="I56" s="174">
        <f>H56/H60</f>
        <v>1</v>
      </c>
      <c r="K56" s="14"/>
      <c r="L56" s="68">
        <v>-20140881</v>
      </c>
      <c r="M56" s="174">
        <f>L56/L60</f>
        <v>1</v>
      </c>
      <c r="O56" s="14"/>
      <c r="P56" s="68">
        <v>-21752151</v>
      </c>
      <c r="Q56" s="174">
        <f>P56/P60</f>
        <v>1</v>
      </c>
      <c r="S56" s="14"/>
      <c r="T56" s="68">
        <v>-23492324</v>
      </c>
      <c r="U56" s="174">
        <f>T56/T60</f>
        <v>1</v>
      </c>
    </row>
    <row r="57" spans="1:21" x14ac:dyDescent="0.25">
      <c r="A57" s="69"/>
      <c r="B57" s="46" t="s">
        <v>71</v>
      </c>
      <c r="C57" s="15"/>
      <c r="D57" s="70">
        <v>0</v>
      </c>
      <c r="E57" s="174">
        <f>D57/D60</f>
        <v>0</v>
      </c>
      <c r="G57" s="14"/>
      <c r="H57" s="70">
        <f>D57*1.08</f>
        <v>0</v>
      </c>
      <c r="I57" s="174">
        <f>H57/H60</f>
        <v>0</v>
      </c>
      <c r="K57" s="14"/>
      <c r="L57" s="70">
        <f>H57*1.08</f>
        <v>0</v>
      </c>
      <c r="M57" s="174">
        <f>L57/L60</f>
        <v>0</v>
      </c>
      <c r="O57" s="14"/>
      <c r="P57" s="70">
        <f>L57*1.08</f>
        <v>0</v>
      </c>
      <c r="Q57" s="174">
        <f>P57/P60</f>
        <v>0</v>
      </c>
      <c r="S57" s="14"/>
      <c r="T57" s="70">
        <f>P57*1.08</f>
        <v>0</v>
      </c>
      <c r="U57" s="174">
        <f>T57/T60</f>
        <v>0</v>
      </c>
    </row>
    <row r="58" spans="1:21" ht="1.5" customHeight="1" x14ac:dyDescent="0.25">
      <c r="A58" s="69"/>
      <c r="B58" s="46" t="s">
        <v>110</v>
      </c>
      <c r="C58" s="15"/>
      <c r="D58" s="71"/>
      <c r="E58" s="174">
        <f>D58/D60</f>
        <v>0</v>
      </c>
      <c r="G58" s="14"/>
      <c r="H58" s="71"/>
      <c r="I58" s="174">
        <f>H58/H60</f>
        <v>0</v>
      </c>
      <c r="K58" s="14"/>
      <c r="L58" s="71"/>
      <c r="M58" s="174">
        <f>L58/L60</f>
        <v>0</v>
      </c>
      <c r="O58" s="14"/>
      <c r="P58" s="71"/>
      <c r="Q58" s="174">
        <f>P58/P60</f>
        <v>0</v>
      </c>
      <c r="S58" s="14"/>
      <c r="T58" s="71"/>
      <c r="U58" s="174">
        <f>T58/T60</f>
        <v>0</v>
      </c>
    </row>
    <row r="59" spans="1:21" ht="4.5" customHeight="1" thickBot="1" x14ac:dyDescent="0.3">
      <c r="A59" s="72"/>
      <c r="C59" s="14"/>
      <c r="D59" s="3"/>
      <c r="E59" s="175"/>
      <c r="G59" s="14"/>
      <c r="H59" s="3"/>
      <c r="I59" s="175"/>
      <c r="K59" s="14"/>
      <c r="L59" s="3"/>
      <c r="M59" s="175"/>
      <c r="O59" s="14"/>
      <c r="P59" s="3"/>
      <c r="Q59" s="175"/>
      <c r="S59" s="14"/>
      <c r="T59" s="3"/>
      <c r="U59" s="175"/>
    </row>
    <row r="60" spans="1:21" ht="13.8" thickBot="1" x14ac:dyDescent="0.3">
      <c r="B60" s="46" t="s">
        <v>11</v>
      </c>
      <c r="C60" s="15"/>
      <c r="D60" s="12">
        <f>SUM(D56:D59)</f>
        <v>-17267560</v>
      </c>
      <c r="E60" s="174">
        <f>SUM(E56:E58)</f>
        <v>1</v>
      </c>
      <c r="F60" s="73"/>
      <c r="G60" s="15"/>
      <c r="H60" s="12">
        <f>SUM(H56:H59)</f>
        <v>-18648965</v>
      </c>
      <c r="I60" s="174">
        <f>SUM(I56:I58)</f>
        <v>1</v>
      </c>
      <c r="K60" s="15"/>
      <c r="L60" s="12">
        <f>SUM(L56:L59)</f>
        <v>-20140881</v>
      </c>
      <c r="M60" s="174">
        <f>SUM(M56:M58)</f>
        <v>1</v>
      </c>
      <c r="O60" s="15"/>
      <c r="P60" s="12">
        <f>SUM(P56:P59)</f>
        <v>-21752151</v>
      </c>
      <c r="Q60" s="174">
        <f>SUM(Q56:Q58)</f>
        <v>1</v>
      </c>
      <c r="S60" s="15"/>
      <c r="T60" s="12">
        <f>SUM(T56:T59)</f>
        <v>-23492324</v>
      </c>
      <c r="U60" s="174">
        <f>SUM(U56:U58)</f>
        <v>1</v>
      </c>
    </row>
    <row r="61" spans="1:21" ht="5.25" customHeight="1" thickBot="1" x14ac:dyDescent="0.3">
      <c r="C61" s="19"/>
      <c r="D61" s="13"/>
      <c r="E61" s="74"/>
      <c r="G61" s="19"/>
      <c r="H61" s="13"/>
      <c r="I61" s="74"/>
      <c r="K61" s="19"/>
      <c r="L61" s="13"/>
      <c r="M61" s="74"/>
      <c r="O61" s="19"/>
      <c r="P61" s="13"/>
      <c r="Q61" s="74"/>
      <c r="S61" s="19"/>
      <c r="T61" s="13"/>
      <c r="U61" s="74"/>
    </row>
    <row r="62" spans="1:21" ht="6" customHeight="1" x14ac:dyDescent="0.25">
      <c r="C62" s="21"/>
      <c r="D62" s="3"/>
      <c r="E62" s="42"/>
      <c r="H62" s="75"/>
      <c r="I62" s="67"/>
      <c r="L62" s="75"/>
      <c r="M62" s="67"/>
      <c r="P62" s="75"/>
      <c r="Q62" s="67"/>
      <c r="T62" s="75"/>
      <c r="U62" s="67"/>
    </row>
    <row r="63" spans="1:21" x14ac:dyDescent="0.25">
      <c r="B63" s="46" t="s">
        <v>12</v>
      </c>
      <c r="C63" s="46"/>
      <c r="D63" s="76">
        <f>D51+D60</f>
        <v>0</v>
      </c>
      <c r="E63" s="73"/>
      <c r="F63" s="73"/>
      <c r="G63" s="46"/>
      <c r="H63" s="76">
        <f>H51+H60</f>
        <v>0</v>
      </c>
      <c r="I63" s="73"/>
      <c r="K63" s="46"/>
      <c r="L63" s="76">
        <f>L51+L60</f>
        <v>0</v>
      </c>
      <c r="M63" s="73"/>
      <c r="O63" s="46"/>
      <c r="P63" s="76">
        <f>P51+P60</f>
        <v>0</v>
      </c>
      <c r="Q63" s="73"/>
      <c r="S63" s="46"/>
      <c r="T63" s="76">
        <f>T51+T60</f>
        <v>0</v>
      </c>
      <c r="U63" s="73"/>
    </row>
    <row r="64" spans="1:21" ht="6" customHeight="1" thickBot="1" x14ac:dyDescent="0.3"/>
    <row r="65" spans="2:20" ht="18" thickBot="1" x14ac:dyDescent="0.35">
      <c r="B65" s="60" t="s">
        <v>20</v>
      </c>
      <c r="D65" s="173">
        <v>0.115</v>
      </c>
      <c r="H65" s="173">
        <f>(H51/D51)-1</f>
        <v>8.0000011582412434E-2</v>
      </c>
      <c r="L65" s="173">
        <f>(L51/H51)-1</f>
        <v>7.9999935653265464E-2</v>
      </c>
      <c r="P65" s="173">
        <f>(P51/L51)-1</f>
        <v>7.9999976167874687E-2</v>
      </c>
      <c r="T65" s="173">
        <f>(T51/P51)-1</f>
        <v>8.0000042294667839E-2</v>
      </c>
    </row>
    <row r="68" spans="2:20" x14ac:dyDescent="0.25">
      <c r="D68" s="67" t="s">
        <v>13</v>
      </c>
      <c r="H68" s="77"/>
    </row>
  </sheetData>
  <sheetProtection password="CFF5" sheet="1" objects="1" scenarios="1" selectLockedCells="1"/>
  <sortState ref="A27:U43">
    <sortCondition ref="B27:B43"/>
  </sortState>
  <mergeCells count="7">
    <mergeCell ref="C1:U1"/>
    <mergeCell ref="C3:U3"/>
    <mergeCell ref="C5:E5"/>
    <mergeCell ref="G5:I5"/>
    <mergeCell ref="K5:M5"/>
    <mergeCell ref="O5:Q5"/>
    <mergeCell ref="S5:U5"/>
  </mergeCells>
  <phoneticPr fontId="0" type="noConversion"/>
  <pageMargins left="0.45" right="0.27559055118110237" top="0.43" bottom="0.19685039370078741" header="0.15748031496062992" footer="0.15748031496062992"/>
  <pageSetup paperSize="9" scale="73" orientation="landscape" r:id="rId1"/>
  <headerFooter alignWithMargins="0">
    <oddHeader>&amp;RForm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tabSelected="1" view="pageBreakPreview" zoomScale="90" zoomScaleNormal="90" zoomScaleSheetLayoutView="90" workbookViewId="0">
      <selection activeCell="G68" sqref="G68"/>
    </sheetView>
  </sheetViews>
  <sheetFormatPr defaultColWidth="9.109375" defaultRowHeight="13.2" x14ac:dyDescent="0.25"/>
  <cols>
    <col min="1" max="1" width="42.5546875" style="24" bestFit="1" customWidth="1"/>
    <col min="2" max="2" width="1.88671875" style="24" customWidth="1"/>
    <col min="3" max="3" width="15.6640625" style="78" customWidth="1"/>
    <col min="4" max="4" width="8.44140625" style="24" customWidth="1"/>
    <col min="5" max="5" width="2.33203125" style="24" customWidth="1"/>
    <col min="6" max="6" width="1.88671875" style="24" customWidth="1"/>
    <col min="7" max="7" width="16" style="78" customWidth="1"/>
    <col min="8" max="8" width="8.44140625" style="24" customWidth="1"/>
    <col min="9" max="9" width="2.33203125" style="24" customWidth="1"/>
    <col min="10" max="10" width="1.88671875" style="24" customWidth="1"/>
    <col min="11" max="11" width="15.6640625" style="24" customWidth="1"/>
    <col min="12" max="12" width="9" style="24" customWidth="1"/>
    <col min="13" max="16384" width="9.109375" style="24"/>
  </cols>
  <sheetData>
    <row r="1" spans="1:12" ht="24" x14ac:dyDescent="0.35">
      <c r="A1" s="183" t="str">
        <f>+'Form 2'!C1:C1</f>
        <v>VOORTREKKER ROAD CORRIDOR IMPROVEMENT DISTRICT (VRCID)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3.4" x14ac:dyDescent="0.4">
      <c r="A2" s="184" t="s">
        <v>65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0.399999999999999" x14ac:dyDescent="0.35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5.25" customHeight="1" x14ac:dyDescent="0.25"/>
    <row r="5" spans="1:12" ht="27" customHeight="1" thickBot="1" x14ac:dyDescent="0.35">
      <c r="A5" s="79"/>
      <c r="B5" s="181" t="s">
        <v>113</v>
      </c>
      <c r="C5" s="182"/>
      <c r="D5" s="182"/>
      <c r="F5" s="182" t="s">
        <v>30</v>
      </c>
      <c r="G5" s="182"/>
      <c r="H5" s="182"/>
      <c r="J5" s="181" t="s">
        <v>74</v>
      </c>
      <c r="K5" s="182"/>
      <c r="L5" s="182"/>
    </row>
    <row r="6" spans="1:12" ht="17.399999999999999" x14ac:dyDescent="0.3">
      <c r="A6" s="80" t="s">
        <v>10</v>
      </c>
      <c r="B6" s="81"/>
      <c r="C6" s="82" t="s">
        <v>29</v>
      </c>
      <c r="D6" s="83" t="s">
        <v>13</v>
      </c>
      <c r="F6" s="81"/>
      <c r="G6" s="82" t="s">
        <v>29</v>
      </c>
      <c r="H6" s="83" t="s">
        <v>13</v>
      </c>
      <c r="J6" s="81"/>
      <c r="K6" s="82" t="s">
        <v>29</v>
      </c>
      <c r="L6" s="83" t="s">
        <v>13</v>
      </c>
    </row>
    <row r="7" spans="1:12" ht="5.25" customHeight="1" x14ac:dyDescent="0.25">
      <c r="A7" s="84"/>
      <c r="B7" s="85"/>
      <c r="C7" s="86"/>
      <c r="D7" s="87"/>
      <c r="F7" s="85"/>
      <c r="G7" s="86"/>
      <c r="H7" s="87"/>
      <c r="J7" s="85"/>
      <c r="K7" s="86"/>
      <c r="L7" s="87"/>
    </row>
    <row r="8" spans="1:12" ht="15" x14ac:dyDescent="0.25">
      <c r="A8" s="176" t="s">
        <v>76</v>
      </c>
      <c r="B8" s="89"/>
      <c r="C8" s="90">
        <f>'Form 2'!H56</f>
        <v>-18648965</v>
      </c>
      <c r="D8" s="91">
        <f>C8/C12</f>
        <v>1</v>
      </c>
      <c r="E8" s="92"/>
      <c r="F8" s="89"/>
      <c r="G8" s="93">
        <v>-18648965</v>
      </c>
      <c r="H8" s="91">
        <f>G8/G12</f>
        <v>1</v>
      </c>
      <c r="I8" s="92"/>
      <c r="J8" s="89"/>
      <c r="K8" s="90">
        <f>G8-C8</f>
        <v>0</v>
      </c>
      <c r="L8" s="94">
        <f>K8/C12</f>
        <v>0</v>
      </c>
    </row>
    <row r="9" spans="1:12" ht="15" x14ac:dyDescent="0.25">
      <c r="A9" s="176" t="s">
        <v>71</v>
      </c>
      <c r="B9" s="89"/>
      <c r="C9" s="114">
        <v>0</v>
      </c>
      <c r="D9" s="91">
        <f>C9/C12</f>
        <v>0</v>
      </c>
      <c r="E9" s="92"/>
      <c r="F9" s="89"/>
      <c r="G9" s="115"/>
      <c r="H9" s="91">
        <f>G9/G12</f>
        <v>0</v>
      </c>
      <c r="I9" s="92"/>
      <c r="J9" s="89"/>
      <c r="K9" s="114">
        <f>G9-C9</f>
        <v>0</v>
      </c>
      <c r="L9" s="94">
        <f>K9/C12</f>
        <v>0</v>
      </c>
    </row>
    <row r="10" spans="1:12" ht="15" x14ac:dyDescent="0.25">
      <c r="A10" s="177" t="s">
        <v>39</v>
      </c>
      <c r="B10" s="89"/>
      <c r="C10" s="95">
        <v>0</v>
      </c>
      <c r="D10" s="91">
        <f>C10/C12</f>
        <v>0</v>
      </c>
      <c r="E10" s="92"/>
      <c r="F10" s="89"/>
      <c r="G10" s="96"/>
      <c r="H10" s="91">
        <f>G10/G12</f>
        <v>0</v>
      </c>
      <c r="I10" s="92"/>
      <c r="J10" s="89"/>
      <c r="K10" s="95">
        <f>G10-C10</f>
        <v>0</v>
      </c>
      <c r="L10" s="94">
        <f>K10/C12</f>
        <v>0</v>
      </c>
    </row>
    <row r="11" spans="1:12" ht="7.5" customHeight="1" thickBot="1" x14ac:dyDescent="0.3">
      <c r="A11" s="84"/>
      <c r="B11" s="85"/>
      <c r="C11" s="86"/>
      <c r="D11" s="87"/>
      <c r="F11" s="85"/>
      <c r="G11" s="86"/>
      <c r="H11" s="87"/>
      <c r="J11" s="85"/>
      <c r="K11" s="86"/>
      <c r="L11" s="87"/>
    </row>
    <row r="12" spans="1:12" ht="18" thickBot="1" x14ac:dyDescent="0.35">
      <c r="A12" s="97" t="s">
        <v>11</v>
      </c>
      <c r="B12" s="98"/>
      <c r="C12" s="99">
        <f>SUM(C8:C11)</f>
        <v>-18648965</v>
      </c>
      <c r="D12" s="94">
        <f>SUM(D8:D11)</f>
        <v>1</v>
      </c>
      <c r="F12" s="98"/>
      <c r="G12" s="99">
        <f>SUM(G8:G11)</f>
        <v>-18648965</v>
      </c>
      <c r="H12" s="94">
        <f>SUM(H8:H11)</f>
        <v>1</v>
      </c>
      <c r="J12" s="98"/>
      <c r="K12" s="99">
        <f>SUM(K8:K11)</f>
        <v>0</v>
      </c>
      <c r="L12" s="94">
        <f>SUM(L8:L11)</f>
        <v>0</v>
      </c>
    </row>
    <row r="13" spans="1:12" ht="7.5" customHeight="1" thickBot="1" x14ac:dyDescent="0.3">
      <c r="A13" s="84"/>
      <c r="B13" s="85"/>
      <c r="C13" s="86"/>
      <c r="D13" s="87"/>
      <c r="F13" s="85"/>
      <c r="G13" s="86"/>
      <c r="H13" s="87"/>
      <c r="J13" s="85"/>
      <c r="K13" s="86"/>
      <c r="L13" s="87"/>
    </row>
    <row r="14" spans="1:12" ht="6.75" customHeight="1" thickBot="1" x14ac:dyDescent="0.3">
      <c r="A14" s="84"/>
      <c r="B14" s="100"/>
      <c r="C14" s="101"/>
      <c r="D14" s="102"/>
      <c r="F14" s="100"/>
      <c r="G14" s="101"/>
      <c r="H14" s="102"/>
      <c r="J14" s="100"/>
      <c r="K14" s="101"/>
      <c r="L14" s="102"/>
    </row>
    <row r="15" spans="1:12" ht="17.399999999999999" x14ac:dyDescent="0.3">
      <c r="A15" s="80" t="s">
        <v>1</v>
      </c>
      <c r="B15" s="103"/>
      <c r="C15" s="82" t="s">
        <v>29</v>
      </c>
      <c r="D15" s="83" t="s">
        <v>13</v>
      </c>
      <c r="F15" s="103"/>
      <c r="G15" s="82" t="s">
        <v>29</v>
      </c>
      <c r="H15" s="83" t="s">
        <v>13</v>
      </c>
      <c r="J15" s="103"/>
      <c r="K15" s="82" t="s">
        <v>29</v>
      </c>
      <c r="L15" s="83" t="s">
        <v>13</v>
      </c>
    </row>
    <row r="16" spans="1:12" ht="5.25" customHeight="1" x14ac:dyDescent="0.25">
      <c r="A16" s="84"/>
      <c r="B16" s="85"/>
      <c r="C16" s="104"/>
      <c r="D16" s="105"/>
      <c r="F16" s="85"/>
      <c r="G16" s="104"/>
      <c r="H16" s="105"/>
      <c r="J16" s="85"/>
      <c r="K16" s="104"/>
      <c r="L16" s="105"/>
    </row>
    <row r="17" spans="1:13" ht="15" x14ac:dyDescent="0.25">
      <c r="A17" s="88" t="s">
        <v>15</v>
      </c>
      <c r="B17" s="98"/>
      <c r="C17" s="106">
        <f>SUM(C18:C22)</f>
        <v>3503528</v>
      </c>
      <c r="D17" s="107">
        <f>C17/$C$92</f>
        <v>0.18786715509412988</v>
      </c>
      <c r="F17" s="98"/>
      <c r="G17" s="106">
        <f>SUM(G18:G18:G22)</f>
        <v>3330082.8900000006</v>
      </c>
      <c r="H17" s="107">
        <f>G17/$G$92</f>
        <v>0.17856663142665952</v>
      </c>
      <c r="J17" s="98"/>
      <c r="K17" s="106">
        <f>SUM(K18:K18:K22)</f>
        <v>-173445.10999999964</v>
      </c>
      <c r="L17" s="107">
        <f>K17/$C$92</f>
        <v>-9.3005220396949456E-3</v>
      </c>
      <c r="M17" s="108"/>
    </row>
    <row r="18" spans="1:13" ht="13.8" x14ac:dyDescent="0.25">
      <c r="A18" s="109" t="s">
        <v>77</v>
      </c>
      <c r="B18" s="110"/>
      <c r="C18" s="90">
        <f>+'Form 2'!H9</f>
        <v>3234064</v>
      </c>
      <c r="D18" s="111"/>
      <c r="E18" s="92"/>
      <c r="F18" s="110"/>
      <c r="G18" s="93">
        <f>2862723*1.07</f>
        <v>3063113.6100000003</v>
      </c>
      <c r="H18" s="111"/>
      <c r="I18" s="92"/>
      <c r="J18" s="110"/>
      <c r="K18" s="90">
        <f>G18-C18</f>
        <v>-170950.38999999966</v>
      </c>
      <c r="L18" s="112"/>
    </row>
    <row r="19" spans="1:13" ht="18" customHeight="1" x14ac:dyDescent="0.25">
      <c r="A19" s="113" t="s">
        <v>78</v>
      </c>
      <c r="B19" s="110"/>
      <c r="C19" s="114">
        <v>0</v>
      </c>
      <c r="D19" s="111"/>
      <c r="E19" s="92"/>
      <c r="F19" s="110"/>
      <c r="G19" s="115"/>
      <c r="H19" s="111"/>
      <c r="I19" s="92"/>
      <c r="J19" s="110"/>
      <c r="K19" s="114">
        <f>G19-C19</f>
        <v>0</v>
      </c>
      <c r="L19" s="112"/>
    </row>
    <row r="20" spans="1:13" ht="13.8" x14ac:dyDescent="0.25">
      <c r="A20" s="109" t="s">
        <v>79</v>
      </c>
      <c r="B20" s="110"/>
      <c r="C20" s="114">
        <v>0</v>
      </c>
      <c r="D20" s="111"/>
      <c r="E20" s="92"/>
      <c r="F20" s="110"/>
      <c r="G20" s="115"/>
      <c r="H20" s="111"/>
      <c r="I20" s="92"/>
      <c r="J20" s="110"/>
      <c r="K20" s="114">
        <f>G20-C20</f>
        <v>0</v>
      </c>
      <c r="L20" s="112"/>
    </row>
    <row r="21" spans="1:13" ht="13.8" x14ac:dyDescent="0.25">
      <c r="A21" s="109" t="s">
        <v>80</v>
      </c>
      <c r="B21" s="110"/>
      <c r="C21" s="114">
        <v>0</v>
      </c>
      <c r="D21" s="111"/>
      <c r="E21" s="92"/>
      <c r="F21" s="110"/>
      <c r="G21" s="115"/>
      <c r="H21" s="111"/>
      <c r="I21" s="92"/>
      <c r="J21" s="110"/>
      <c r="K21" s="114">
        <f>G21-C21</f>
        <v>0</v>
      </c>
      <c r="L21" s="112"/>
    </row>
    <row r="22" spans="1:13" ht="13.8" x14ac:dyDescent="0.25">
      <c r="A22" s="109" t="s">
        <v>81</v>
      </c>
      <c r="B22" s="110"/>
      <c r="C22" s="95">
        <f>+'Form 2'!H10</f>
        <v>269464</v>
      </c>
      <c r="D22" s="111"/>
      <c r="E22" s="92"/>
      <c r="F22" s="110"/>
      <c r="G22" s="96">
        <f>249504*1.07</f>
        <v>266969.28000000003</v>
      </c>
      <c r="H22" s="111"/>
      <c r="I22" s="92"/>
      <c r="J22" s="110"/>
      <c r="K22" s="95">
        <f>G22-C22</f>
        <v>-2494.7199999999721</v>
      </c>
      <c r="L22" s="112"/>
    </row>
    <row r="23" spans="1:13" ht="6.75" customHeight="1" x14ac:dyDescent="0.25">
      <c r="A23" s="84"/>
      <c r="B23" s="85"/>
      <c r="C23" s="86"/>
      <c r="D23" s="112"/>
      <c r="F23" s="85"/>
      <c r="G23" s="86"/>
      <c r="H23" s="112"/>
      <c r="J23" s="85"/>
      <c r="K23" s="86"/>
      <c r="L23" s="112"/>
    </row>
    <row r="24" spans="1:13" ht="15" x14ac:dyDescent="0.25">
      <c r="A24" s="88" t="s">
        <v>24</v>
      </c>
      <c r="B24" s="98"/>
      <c r="C24" s="106">
        <f>SUM(C25:C31)</f>
        <v>13503146</v>
      </c>
      <c r="D24" s="107">
        <f>+C24/$C$92</f>
        <v>0.7240694590825818</v>
      </c>
      <c r="F24" s="98"/>
      <c r="G24" s="106">
        <f>SUM(G25:G31)</f>
        <v>13498019.4</v>
      </c>
      <c r="H24" s="94">
        <f>+G24/$G$92</f>
        <v>0.72379455251028291</v>
      </c>
      <c r="J24" s="98"/>
      <c r="K24" s="106">
        <f>SUM(K25:K31)</f>
        <v>-5126.5999999999767</v>
      </c>
      <c r="L24" s="107">
        <f>+K24/$C$92</f>
        <v>-2.7489997434173837E-4</v>
      </c>
      <c r="M24" s="108"/>
    </row>
    <row r="25" spans="1:13" ht="13.8" x14ac:dyDescent="0.25">
      <c r="A25" s="109" t="s">
        <v>82</v>
      </c>
      <c r="B25" s="110"/>
      <c r="C25" s="90">
        <f>+'Form 2'!H13</f>
        <v>2538998</v>
      </c>
      <c r="D25" s="111"/>
      <c r="E25" s="92"/>
      <c r="F25" s="110"/>
      <c r="G25" s="93">
        <f>2400000*1.07</f>
        <v>2568000</v>
      </c>
      <c r="H25" s="111"/>
      <c r="I25" s="92"/>
      <c r="J25" s="110"/>
      <c r="K25" s="90">
        <f t="shared" ref="K25:K31" si="0">G25-C25</f>
        <v>29002</v>
      </c>
      <c r="L25" s="112"/>
    </row>
    <row r="26" spans="1:13" ht="16.5" customHeight="1" x14ac:dyDescent="0.25">
      <c r="A26" s="116" t="s">
        <v>83</v>
      </c>
      <c r="B26" s="110"/>
      <c r="C26" s="114">
        <f>+'Form 2'!H14</f>
        <v>129600</v>
      </c>
      <c r="D26" s="111"/>
      <c r="E26" s="92"/>
      <c r="F26" s="110"/>
      <c r="G26" s="115">
        <v>120000</v>
      </c>
      <c r="H26" s="111"/>
      <c r="I26" s="92"/>
      <c r="J26" s="110"/>
      <c r="K26" s="114">
        <f t="shared" si="0"/>
        <v>-9600</v>
      </c>
      <c r="L26" s="111"/>
    </row>
    <row r="27" spans="1:13" ht="16.5" customHeight="1" x14ac:dyDescent="0.25">
      <c r="A27" s="113" t="s">
        <v>50</v>
      </c>
      <c r="B27" s="110"/>
      <c r="C27" s="114">
        <f>+'Form 2'!H15</f>
        <v>359169</v>
      </c>
      <c r="D27" s="111"/>
      <c r="E27" s="92"/>
      <c r="F27" s="110"/>
      <c r="G27" s="115">
        <f>321720*1.07</f>
        <v>344240.4</v>
      </c>
      <c r="H27" s="111"/>
      <c r="I27" s="92"/>
      <c r="J27" s="110"/>
      <c r="K27" s="114">
        <f t="shared" si="0"/>
        <v>-14928.599999999977</v>
      </c>
      <c r="L27" s="112"/>
    </row>
    <row r="28" spans="1:13" ht="13.8" x14ac:dyDescent="0.25">
      <c r="A28" s="109" t="s">
        <v>84</v>
      </c>
      <c r="B28" s="110"/>
      <c r="C28" s="114">
        <f>+'Form 2'!H16</f>
        <v>10345779</v>
      </c>
      <c r="D28" s="111"/>
      <c r="E28" s="92"/>
      <c r="F28" s="110"/>
      <c r="G28" s="115">
        <f>9579425*1.08</f>
        <v>10345779</v>
      </c>
      <c r="H28" s="111"/>
      <c r="I28" s="92"/>
      <c r="J28" s="110"/>
      <c r="K28" s="114">
        <f t="shared" si="0"/>
        <v>0</v>
      </c>
      <c r="L28" s="112"/>
    </row>
    <row r="29" spans="1:13" ht="13.8" x14ac:dyDescent="0.25">
      <c r="A29" s="109" t="s">
        <v>85</v>
      </c>
      <c r="B29" s="110"/>
      <c r="C29" s="114">
        <v>0</v>
      </c>
      <c r="D29" s="111"/>
      <c r="E29" s="92"/>
      <c r="F29" s="110"/>
      <c r="G29" s="115"/>
      <c r="H29" s="111"/>
      <c r="I29" s="92"/>
      <c r="J29" s="110"/>
      <c r="K29" s="114">
        <f t="shared" si="0"/>
        <v>0</v>
      </c>
      <c r="L29" s="112"/>
    </row>
    <row r="30" spans="1:13" ht="13.8" x14ac:dyDescent="0.25">
      <c r="A30" s="109" t="s">
        <v>86</v>
      </c>
      <c r="B30" s="110"/>
      <c r="C30" s="114">
        <f>+'Form 2'!H17</f>
        <v>129600</v>
      </c>
      <c r="D30" s="111"/>
      <c r="E30" s="92"/>
      <c r="F30" s="110"/>
      <c r="G30" s="115">
        <v>120000</v>
      </c>
      <c r="H30" s="111"/>
      <c r="I30" s="92"/>
      <c r="J30" s="110"/>
      <c r="K30" s="114">
        <f t="shared" si="0"/>
        <v>-9600</v>
      </c>
      <c r="L30" s="112"/>
    </row>
    <row r="31" spans="1:13" ht="13.8" x14ac:dyDescent="0.25">
      <c r="A31" s="109" t="s">
        <v>87</v>
      </c>
      <c r="B31" s="110"/>
      <c r="C31" s="95">
        <v>0</v>
      </c>
      <c r="D31" s="111"/>
      <c r="E31" s="92"/>
      <c r="F31" s="110"/>
      <c r="G31" s="96"/>
      <c r="H31" s="111"/>
      <c r="I31" s="92"/>
      <c r="J31" s="110"/>
      <c r="K31" s="95">
        <f t="shared" si="0"/>
        <v>0</v>
      </c>
      <c r="L31" s="112"/>
    </row>
    <row r="32" spans="1:13" ht="6.75" customHeight="1" x14ac:dyDescent="0.25">
      <c r="A32" s="84"/>
      <c r="B32" s="85"/>
      <c r="C32" s="86"/>
      <c r="D32" s="112"/>
      <c r="F32" s="85"/>
      <c r="G32" s="86"/>
      <c r="H32" s="112"/>
      <c r="J32" s="85"/>
      <c r="K32" s="86"/>
      <c r="L32" s="112"/>
    </row>
    <row r="33" spans="1:13" ht="15" x14ac:dyDescent="0.25">
      <c r="A33" s="88" t="s">
        <v>3</v>
      </c>
      <c r="B33" s="98"/>
      <c r="C33" s="106">
        <f>+'Form 2'!H19</f>
        <v>118800</v>
      </c>
      <c r="D33" s="107">
        <f>+C33/$C$92</f>
        <v>6.370326717863431E-3</v>
      </c>
      <c r="F33" s="98"/>
      <c r="G33" s="117">
        <v>118800</v>
      </c>
      <c r="H33" s="94">
        <f>+G33/$G$92</f>
        <v>6.3703266597928887E-3</v>
      </c>
      <c r="J33" s="98"/>
      <c r="K33" s="106">
        <f>G33-C33</f>
        <v>0</v>
      </c>
      <c r="L33" s="107">
        <f>+K33/$C$92</f>
        <v>0</v>
      </c>
      <c r="M33" s="108"/>
    </row>
    <row r="34" spans="1:13" ht="15" x14ac:dyDescent="0.25">
      <c r="A34" s="88" t="s">
        <v>88</v>
      </c>
      <c r="B34" s="98"/>
      <c r="C34" s="106">
        <f>+'Form 2'!H20</f>
        <v>25920</v>
      </c>
      <c r="D34" s="107">
        <f>+C34/$C$92</f>
        <v>1.3898894657156577E-3</v>
      </c>
      <c r="F34" s="98"/>
      <c r="G34" s="117">
        <v>25920</v>
      </c>
      <c r="H34" s="94">
        <f>+G34/$G$92</f>
        <v>1.389889453045721E-3</v>
      </c>
      <c r="J34" s="98"/>
      <c r="K34" s="106">
        <f>G34-C34</f>
        <v>0</v>
      </c>
      <c r="L34" s="107">
        <f>+K34/$C$92</f>
        <v>0</v>
      </c>
      <c r="M34" s="108"/>
    </row>
    <row r="35" spans="1:13" ht="15" x14ac:dyDescent="0.25">
      <c r="A35" s="88" t="s">
        <v>89</v>
      </c>
      <c r="B35" s="98"/>
      <c r="C35" s="106">
        <f>+'Form 2'!H22</f>
        <v>0</v>
      </c>
      <c r="D35" s="107">
        <f>+C35/$C$92</f>
        <v>0</v>
      </c>
      <c r="F35" s="98"/>
      <c r="G35" s="117"/>
      <c r="H35" s="94">
        <f>+G35/$G$92</f>
        <v>0</v>
      </c>
      <c r="J35" s="98"/>
      <c r="K35" s="106">
        <f>G35-C35</f>
        <v>0</v>
      </c>
      <c r="L35" s="107">
        <f>+K35/$C$92</f>
        <v>0</v>
      </c>
      <c r="M35" s="108"/>
    </row>
    <row r="36" spans="1:13" ht="6.75" customHeight="1" x14ac:dyDescent="0.25">
      <c r="A36" s="118"/>
      <c r="B36" s="98"/>
      <c r="C36" s="106"/>
      <c r="D36" s="107"/>
      <c r="F36" s="98"/>
      <c r="G36" s="106"/>
      <c r="H36" s="107"/>
      <c r="J36" s="98"/>
      <c r="K36" s="106"/>
      <c r="L36" s="107"/>
    </row>
    <row r="37" spans="1:13" ht="15" x14ac:dyDescent="0.25">
      <c r="A37" s="88" t="s">
        <v>27</v>
      </c>
      <c r="B37" s="98"/>
      <c r="C37" s="106">
        <f>SUM(C38:C70)</f>
        <v>895035</v>
      </c>
      <c r="D37" s="107">
        <f>+C37/$C$92</f>
        <v>4.7993816278812253E-2</v>
      </c>
      <c r="F37" s="98"/>
      <c r="G37" s="106">
        <f>SUM(G38:G70)</f>
        <v>1116673.8799999999</v>
      </c>
      <c r="H37" s="94">
        <f>+G37/$G$92</f>
        <v>5.9878597542578821E-2</v>
      </c>
      <c r="J37" s="98"/>
      <c r="K37" s="106">
        <f>SUM(K38:K70)</f>
        <v>221638.88</v>
      </c>
      <c r="L37" s="107">
        <f>+K37/$C$92</f>
        <v>1.1884781809607128E-2</v>
      </c>
      <c r="M37" s="108"/>
    </row>
    <row r="38" spans="1:13" ht="13.8" x14ac:dyDescent="0.25">
      <c r="A38" s="109" t="s">
        <v>34</v>
      </c>
      <c r="B38" s="85"/>
      <c r="C38" s="90">
        <f>+'Form 2'!H28</f>
        <v>55042</v>
      </c>
      <c r="D38" s="111"/>
      <c r="E38" s="92"/>
      <c r="F38" s="110"/>
      <c r="G38" s="93">
        <f>53000*1.07</f>
        <v>56710</v>
      </c>
      <c r="H38" s="111"/>
      <c r="I38" s="92"/>
      <c r="J38" s="110"/>
      <c r="K38" s="90">
        <f t="shared" ref="K38:K70" si="1">G38-C38</f>
        <v>1668</v>
      </c>
      <c r="L38" s="112"/>
    </row>
    <row r="39" spans="1:13" ht="13.8" x14ac:dyDescent="0.25">
      <c r="A39" s="109" t="s">
        <v>51</v>
      </c>
      <c r="B39" s="85"/>
      <c r="C39" s="114">
        <v>0</v>
      </c>
      <c r="D39" s="111"/>
      <c r="E39" s="92"/>
      <c r="F39" s="110"/>
      <c r="G39" s="115"/>
      <c r="H39" s="111"/>
      <c r="I39" s="92"/>
      <c r="J39" s="110"/>
      <c r="K39" s="114">
        <f t="shared" si="1"/>
        <v>0</v>
      </c>
      <c r="L39" s="112"/>
    </row>
    <row r="40" spans="1:13" ht="13.8" x14ac:dyDescent="0.25">
      <c r="A40" s="109" t="s">
        <v>90</v>
      </c>
      <c r="B40" s="85"/>
      <c r="C40" s="114">
        <f>+'Form 2'!H26</f>
        <v>17695</v>
      </c>
      <c r="D40" s="111"/>
      <c r="E40" s="92"/>
      <c r="F40" s="110"/>
      <c r="G40" s="115">
        <f>16384*1.07</f>
        <v>17530.88</v>
      </c>
      <c r="H40" s="111"/>
      <c r="I40" s="92"/>
      <c r="J40" s="110"/>
      <c r="K40" s="114">
        <f t="shared" si="1"/>
        <v>-164.11999999999898</v>
      </c>
      <c r="L40" s="112"/>
    </row>
    <row r="41" spans="1:13" ht="13.8" x14ac:dyDescent="0.25">
      <c r="A41" s="109" t="s">
        <v>31</v>
      </c>
      <c r="B41" s="85"/>
      <c r="C41" s="114">
        <f>+'Form 2'!H27</f>
        <v>21235</v>
      </c>
      <c r="D41" s="111"/>
      <c r="E41" s="92"/>
      <c r="F41" s="110"/>
      <c r="G41" s="115">
        <v>21235</v>
      </c>
      <c r="H41" s="111"/>
      <c r="I41" s="92"/>
      <c r="J41" s="110"/>
      <c r="K41" s="114">
        <f t="shared" si="1"/>
        <v>0</v>
      </c>
      <c r="L41" s="112"/>
    </row>
    <row r="42" spans="1:13" ht="13.8" x14ac:dyDescent="0.25">
      <c r="A42" s="109" t="s">
        <v>18</v>
      </c>
      <c r="B42" s="85"/>
      <c r="C42" s="114">
        <f>+'Form 2'!H29</f>
        <v>8600</v>
      </c>
      <c r="D42" s="111"/>
      <c r="E42" s="92"/>
      <c r="F42" s="110"/>
      <c r="G42" s="115">
        <v>8600</v>
      </c>
      <c r="H42" s="111"/>
      <c r="I42" s="92"/>
      <c r="J42" s="110"/>
      <c r="K42" s="114">
        <f t="shared" si="1"/>
        <v>0</v>
      </c>
      <c r="L42" s="112"/>
    </row>
    <row r="43" spans="1:13" ht="13.8" x14ac:dyDescent="0.25">
      <c r="A43" s="109" t="s">
        <v>91</v>
      </c>
      <c r="B43" s="85"/>
      <c r="C43" s="114">
        <v>0</v>
      </c>
      <c r="D43" s="111"/>
      <c r="E43" s="92"/>
      <c r="F43" s="110"/>
      <c r="G43" s="115"/>
      <c r="H43" s="111"/>
      <c r="I43" s="92"/>
      <c r="J43" s="110"/>
      <c r="K43" s="114">
        <f t="shared" si="1"/>
        <v>0</v>
      </c>
      <c r="L43" s="112"/>
    </row>
    <row r="44" spans="1:13" ht="13.8" x14ac:dyDescent="0.25">
      <c r="A44" s="109" t="s">
        <v>92</v>
      </c>
      <c r="B44" s="85"/>
      <c r="C44" s="114">
        <v>0</v>
      </c>
      <c r="D44" s="111"/>
      <c r="E44" s="92"/>
      <c r="F44" s="110"/>
      <c r="G44" s="115"/>
      <c r="H44" s="111"/>
      <c r="I44" s="92"/>
      <c r="J44" s="110"/>
      <c r="K44" s="114">
        <f t="shared" si="1"/>
        <v>0</v>
      </c>
      <c r="L44" s="112"/>
    </row>
    <row r="45" spans="1:13" ht="13.8" x14ac:dyDescent="0.25">
      <c r="A45" s="109" t="s">
        <v>93</v>
      </c>
      <c r="B45" s="85"/>
      <c r="C45" s="114">
        <f>+'Form 2'!H30</f>
        <v>9261</v>
      </c>
      <c r="D45" s="111"/>
      <c r="E45" s="92"/>
      <c r="F45" s="110"/>
      <c r="G45" s="115">
        <f>13000*1.07</f>
        <v>13910</v>
      </c>
      <c r="H45" s="111"/>
      <c r="I45" s="92"/>
      <c r="J45" s="110"/>
      <c r="K45" s="114">
        <f t="shared" si="1"/>
        <v>4649</v>
      </c>
      <c r="L45" s="112"/>
    </row>
    <row r="46" spans="1:13" ht="13.8" x14ac:dyDescent="0.25">
      <c r="A46" s="109" t="s">
        <v>94</v>
      </c>
      <c r="B46" s="85"/>
      <c r="C46" s="114">
        <v>0</v>
      </c>
      <c r="D46" s="111"/>
      <c r="E46" s="92"/>
      <c r="F46" s="110"/>
      <c r="G46" s="115"/>
      <c r="H46" s="111"/>
      <c r="I46" s="92"/>
      <c r="J46" s="110"/>
      <c r="K46" s="114">
        <f t="shared" si="1"/>
        <v>0</v>
      </c>
      <c r="L46" s="112"/>
    </row>
    <row r="47" spans="1:13" ht="13.8" x14ac:dyDescent="0.25">
      <c r="A47" s="109" t="s">
        <v>95</v>
      </c>
      <c r="B47" s="85"/>
      <c r="C47" s="114">
        <v>0</v>
      </c>
      <c r="D47" s="111"/>
      <c r="E47" s="92"/>
      <c r="F47" s="110"/>
      <c r="G47" s="115"/>
      <c r="H47" s="111"/>
      <c r="I47" s="92"/>
      <c r="J47" s="110"/>
      <c r="K47" s="114">
        <f t="shared" si="1"/>
        <v>0</v>
      </c>
      <c r="L47" s="112"/>
    </row>
    <row r="48" spans="1:13" ht="13.8" x14ac:dyDescent="0.25">
      <c r="A48" s="109" t="s">
        <v>52</v>
      </c>
      <c r="B48" s="85"/>
      <c r="C48" s="114">
        <f>+'Form 2'!H31</f>
        <v>57780</v>
      </c>
      <c r="D48" s="111"/>
      <c r="E48" s="92"/>
      <c r="F48" s="110"/>
      <c r="G48" s="115">
        <f>75000*1.07</f>
        <v>80250</v>
      </c>
      <c r="H48" s="111"/>
      <c r="I48" s="92"/>
      <c r="J48" s="110"/>
      <c r="K48" s="114">
        <f t="shared" si="1"/>
        <v>22470</v>
      </c>
      <c r="L48" s="112"/>
    </row>
    <row r="49" spans="1:12" ht="13.8" x14ac:dyDescent="0.25">
      <c r="A49" s="109" t="s">
        <v>53</v>
      </c>
      <c r="B49" s="85"/>
      <c r="C49" s="114">
        <v>0</v>
      </c>
      <c r="D49" s="111"/>
      <c r="E49" s="92"/>
      <c r="F49" s="110"/>
      <c r="G49" s="115"/>
      <c r="H49" s="111"/>
      <c r="I49" s="92"/>
      <c r="J49" s="110"/>
      <c r="K49" s="114">
        <f t="shared" si="1"/>
        <v>0</v>
      </c>
      <c r="L49" s="112"/>
    </row>
    <row r="50" spans="1:12" ht="13.8" x14ac:dyDescent="0.25">
      <c r="A50" s="109" t="s">
        <v>96</v>
      </c>
      <c r="B50" s="85"/>
      <c r="C50" s="114">
        <v>0</v>
      </c>
      <c r="D50" s="111"/>
      <c r="E50" s="92"/>
      <c r="F50" s="110"/>
      <c r="G50" s="115"/>
      <c r="H50" s="111"/>
      <c r="I50" s="92"/>
      <c r="J50" s="110"/>
      <c r="K50" s="114">
        <f t="shared" si="1"/>
        <v>0</v>
      </c>
      <c r="L50" s="112"/>
    </row>
    <row r="51" spans="1:12" ht="13.8" x14ac:dyDescent="0.25">
      <c r="A51" s="109" t="s">
        <v>25</v>
      </c>
      <c r="B51" s="85"/>
      <c r="C51" s="114">
        <f>+'Form 2'!H32</f>
        <v>56377</v>
      </c>
      <c r="D51" s="111"/>
      <c r="E51" s="92"/>
      <c r="F51" s="110"/>
      <c r="G51" s="115">
        <v>56000</v>
      </c>
      <c r="H51" s="111"/>
      <c r="I51" s="92"/>
      <c r="J51" s="110"/>
      <c r="K51" s="114">
        <f t="shared" si="1"/>
        <v>-377</v>
      </c>
      <c r="L51" s="112"/>
    </row>
    <row r="52" spans="1:12" ht="13.8" x14ac:dyDescent="0.25">
      <c r="A52" s="109" t="s">
        <v>32</v>
      </c>
      <c r="B52" s="85"/>
      <c r="C52" s="114">
        <f>+'Form 2'!H33</f>
        <v>79385</v>
      </c>
      <c r="D52" s="111"/>
      <c r="E52" s="92"/>
      <c r="F52" s="110"/>
      <c r="G52" s="115">
        <v>240000</v>
      </c>
      <c r="H52" s="111"/>
      <c r="I52" s="92"/>
      <c r="J52" s="110"/>
      <c r="K52" s="114">
        <f t="shared" si="1"/>
        <v>160615</v>
      </c>
      <c r="L52" s="112"/>
    </row>
    <row r="53" spans="1:12" ht="13.8" x14ac:dyDescent="0.25">
      <c r="A53" s="109" t="s">
        <v>38</v>
      </c>
      <c r="B53" s="85"/>
      <c r="C53" s="114">
        <f>+'Form 2'!H34</f>
        <v>47628</v>
      </c>
      <c r="D53" s="111"/>
      <c r="E53" s="92"/>
      <c r="F53" s="110"/>
      <c r="G53" s="115">
        <v>47628</v>
      </c>
      <c r="H53" s="111"/>
      <c r="I53" s="92"/>
      <c r="J53" s="110"/>
      <c r="K53" s="114">
        <f t="shared" si="1"/>
        <v>0</v>
      </c>
      <c r="L53" s="112"/>
    </row>
    <row r="54" spans="1:12" ht="13.8" x14ac:dyDescent="0.25">
      <c r="A54" s="109" t="s">
        <v>97</v>
      </c>
      <c r="B54" s="85"/>
      <c r="C54" s="114">
        <v>0</v>
      </c>
      <c r="D54" s="111"/>
      <c r="E54" s="92"/>
      <c r="F54" s="110"/>
      <c r="G54" s="115"/>
      <c r="H54" s="111"/>
      <c r="I54" s="92"/>
      <c r="J54" s="110"/>
      <c r="K54" s="114">
        <f t="shared" si="1"/>
        <v>0</v>
      </c>
      <c r="L54" s="112"/>
    </row>
    <row r="55" spans="1:12" ht="13.8" x14ac:dyDescent="0.25">
      <c r="A55" s="109" t="s">
        <v>54</v>
      </c>
      <c r="B55" s="85"/>
      <c r="C55" s="114">
        <v>0</v>
      </c>
      <c r="D55" s="111"/>
      <c r="E55" s="92"/>
      <c r="F55" s="110"/>
      <c r="G55" s="115"/>
      <c r="H55" s="111"/>
      <c r="I55" s="92"/>
      <c r="J55" s="110"/>
      <c r="K55" s="114">
        <f t="shared" si="1"/>
        <v>0</v>
      </c>
      <c r="L55" s="112"/>
    </row>
    <row r="56" spans="1:12" ht="13.8" x14ac:dyDescent="0.25">
      <c r="A56" s="109" t="s">
        <v>98</v>
      </c>
      <c r="B56" s="85"/>
      <c r="C56" s="114">
        <v>0</v>
      </c>
      <c r="D56" s="111"/>
      <c r="E56" s="92"/>
      <c r="F56" s="110"/>
      <c r="G56" s="115">
        <f>36000*1.07</f>
        <v>38520</v>
      </c>
      <c r="H56" s="111"/>
      <c r="I56" s="92"/>
      <c r="J56" s="110"/>
      <c r="K56" s="114">
        <f t="shared" si="1"/>
        <v>38520</v>
      </c>
      <c r="L56" s="112"/>
    </row>
    <row r="57" spans="1:12" ht="13.8" x14ac:dyDescent="0.25">
      <c r="A57" s="109" t="s">
        <v>99</v>
      </c>
      <c r="B57" s="85"/>
      <c r="C57" s="114">
        <f>+'Form 2'!H25</f>
        <v>242732</v>
      </c>
      <c r="D57" s="111"/>
      <c r="E57" s="92"/>
      <c r="F57" s="110"/>
      <c r="G57" s="115">
        <v>240000</v>
      </c>
      <c r="H57" s="111"/>
      <c r="I57" s="92"/>
      <c r="J57" s="110"/>
      <c r="K57" s="114">
        <f t="shared" si="1"/>
        <v>-2732</v>
      </c>
      <c r="L57" s="112"/>
    </row>
    <row r="58" spans="1:12" ht="13.8" x14ac:dyDescent="0.25">
      <c r="A58" s="109" t="s">
        <v>55</v>
      </c>
      <c r="B58" s="85"/>
      <c r="C58" s="114">
        <v>0</v>
      </c>
      <c r="D58" s="111"/>
      <c r="E58" s="92"/>
      <c r="F58" s="110"/>
      <c r="G58" s="115"/>
      <c r="H58" s="111"/>
      <c r="I58" s="92"/>
      <c r="J58" s="110"/>
      <c r="K58" s="114">
        <f t="shared" si="1"/>
        <v>0</v>
      </c>
      <c r="L58" s="112"/>
    </row>
    <row r="59" spans="1:12" ht="13.8" x14ac:dyDescent="0.25">
      <c r="A59" s="109" t="s">
        <v>100</v>
      </c>
      <c r="B59" s="85"/>
      <c r="C59" s="114">
        <v>0</v>
      </c>
      <c r="D59" s="111"/>
      <c r="E59" s="92"/>
      <c r="F59" s="110"/>
      <c r="G59" s="115"/>
      <c r="H59" s="111"/>
      <c r="I59" s="92"/>
      <c r="J59" s="110"/>
      <c r="K59" s="114">
        <f t="shared" si="1"/>
        <v>0</v>
      </c>
      <c r="L59" s="112"/>
    </row>
    <row r="60" spans="1:12" ht="13.8" x14ac:dyDescent="0.25">
      <c r="A60" s="109" t="s">
        <v>73</v>
      </c>
      <c r="B60" s="85"/>
      <c r="C60" s="114">
        <v>0</v>
      </c>
      <c r="D60" s="111"/>
      <c r="E60" s="92"/>
      <c r="F60" s="110"/>
      <c r="G60" s="115"/>
      <c r="H60" s="111"/>
      <c r="I60" s="92"/>
      <c r="J60" s="110"/>
      <c r="K60" s="114">
        <f t="shared" si="1"/>
        <v>0</v>
      </c>
      <c r="L60" s="112"/>
    </row>
    <row r="61" spans="1:12" ht="13.8" x14ac:dyDescent="0.25">
      <c r="A61" s="109" t="s">
        <v>72</v>
      </c>
      <c r="B61" s="85"/>
      <c r="C61" s="114">
        <v>0</v>
      </c>
      <c r="D61" s="111"/>
      <c r="E61" s="92"/>
      <c r="F61" s="110"/>
      <c r="G61" s="115"/>
      <c r="H61" s="111"/>
      <c r="I61" s="92"/>
      <c r="J61" s="110"/>
      <c r="K61" s="114">
        <f t="shared" si="1"/>
        <v>0</v>
      </c>
      <c r="L61" s="112"/>
    </row>
    <row r="62" spans="1:12" ht="13.8" x14ac:dyDescent="0.25">
      <c r="A62" s="109" t="s">
        <v>101</v>
      </c>
      <c r="B62" s="85"/>
      <c r="C62" s="114">
        <f>+'Form 2'!H35</f>
        <v>59540</v>
      </c>
      <c r="D62" s="111"/>
      <c r="E62" s="92"/>
      <c r="F62" s="110"/>
      <c r="G62" s="115">
        <v>80000</v>
      </c>
      <c r="H62" s="111"/>
      <c r="I62" s="92"/>
      <c r="J62" s="110"/>
      <c r="K62" s="114">
        <f t="shared" si="1"/>
        <v>20460</v>
      </c>
      <c r="L62" s="112"/>
    </row>
    <row r="63" spans="1:12" ht="13.8" x14ac:dyDescent="0.25">
      <c r="A63" s="109" t="s">
        <v>102</v>
      </c>
      <c r="B63" s="85"/>
      <c r="C63" s="114">
        <f>+'Form 2'!H21</f>
        <v>0</v>
      </c>
      <c r="D63" s="111"/>
      <c r="E63" s="92"/>
      <c r="F63" s="110"/>
      <c r="G63" s="115"/>
      <c r="H63" s="111"/>
      <c r="I63" s="92"/>
      <c r="J63" s="110"/>
      <c r="K63" s="114">
        <f t="shared" si="1"/>
        <v>0</v>
      </c>
      <c r="L63" s="112"/>
    </row>
    <row r="64" spans="1:12" ht="13.8" x14ac:dyDescent="0.25">
      <c r="A64" s="109" t="s">
        <v>56</v>
      </c>
      <c r="B64" s="85"/>
      <c r="C64" s="114">
        <v>0</v>
      </c>
      <c r="D64" s="111"/>
      <c r="E64" s="92"/>
      <c r="F64" s="110"/>
      <c r="G64" s="115"/>
      <c r="H64" s="111"/>
      <c r="I64" s="92"/>
      <c r="J64" s="110"/>
      <c r="K64" s="114">
        <f t="shared" si="1"/>
        <v>0</v>
      </c>
      <c r="L64" s="112"/>
    </row>
    <row r="65" spans="1:13" ht="13.8" x14ac:dyDescent="0.25">
      <c r="A65" s="109" t="s">
        <v>57</v>
      </c>
      <c r="B65" s="85"/>
      <c r="C65" s="114">
        <v>0</v>
      </c>
      <c r="D65" s="111"/>
      <c r="E65" s="92"/>
      <c r="F65" s="110"/>
      <c r="G65" s="115"/>
      <c r="H65" s="111"/>
      <c r="I65" s="92"/>
      <c r="J65" s="110"/>
      <c r="K65" s="114">
        <f t="shared" si="1"/>
        <v>0</v>
      </c>
      <c r="L65" s="112"/>
    </row>
    <row r="66" spans="1:13" ht="13.8" x14ac:dyDescent="0.25">
      <c r="A66" s="109" t="s">
        <v>103</v>
      </c>
      <c r="B66" s="85"/>
      <c r="C66" s="114">
        <v>0</v>
      </c>
      <c r="D66" s="111"/>
      <c r="E66" s="92"/>
      <c r="F66" s="110"/>
      <c r="G66" s="115"/>
      <c r="H66" s="111"/>
      <c r="I66" s="92"/>
      <c r="J66" s="110"/>
      <c r="K66" s="114">
        <f t="shared" si="1"/>
        <v>0</v>
      </c>
      <c r="L66" s="112"/>
    </row>
    <row r="67" spans="1:13" ht="13.8" x14ac:dyDescent="0.25">
      <c r="A67" s="109" t="s">
        <v>104</v>
      </c>
      <c r="B67" s="85"/>
      <c r="C67" s="114">
        <f>+'Form 2'!H38</f>
        <v>162000</v>
      </c>
      <c r="D67" s="111"/>
      <c r="E67" s="92"/>
      <c r="F67" s="110"/>
      <c r="G67" s="115">
        <v>176290</v>
      </c>
      <c r="H67" s="111"/>
      <c r="I67" s="92"/>
      <c r="J67" s="110"/>
      <c r="K67" s="114">
        <f t="shared" si="1"/>
        <v>14290</v>
      </c>
      <c r="L67" s="112"/>
    </row>
    <row r="68" spans="1:13" ht="13.8" x14ac:dyDescent="0.25">
      <c r="A68" s="109" t="s">
        <v>58</v>
      </c>
      <c r="B68" s="85"/>
      <c r="C68" s="114">
        <f>+'Form 2'!H40</f>
        <v>38880</v>
      </c>
      <c r="D68" s="111"/>
      <c r="E68" s="92"/>
      <c r="F68" s="110"/>
      <c r="G68" s="115">
        <v>40000</v>
      </c>
      <c r="H68" s="111"/>
      <c r="I68" s="92"/>
      <c r="J68" s="110"/>
      <c r="K68" s="114">
        <f t="shared" si="1"/>
        <v>1120</v>
      </c>
      <c r="L68" s="112"/>
    </row>
    <row r="69" spans="1:13" ht="13.8" x14ac:dyDescent="0.25">
      <c r="A69" s="109" t="s">
        <v>105</v>
      </c>
      <c r="B69" s="85"/>
      <c r="C69" s="114">
        <v>0</v>
      </c>
      <c r="D69" s="111"/>
      <c r="E69" s="92"/>
      <c r="F69" s="110"/>
      <c r="G69" s="115"/>
      <c r="H69" s="111"/>
      <c r="I69" s="92"/>
      <c r="J69" s="110"/>
      <c r="K69" s="114">
        <f t="shared" si="1"/>
        <v>0</v>
      </c>
      <c r="L69" s="112"/>
    </row>
    <row r="70" spans="1:13" ht="13.8" x14ac:dyDescent="0.25">
      <c r="A70" s="109" t="s">
        <v>106</v>
      </c>
      <c r="B70" s="85"/>
      <c r="C70" s="95">
        <f>+'Form 2'!H41</f>
        <v>38880</v>
      </c>
      <c r="D70" s="111"/>
      <c r="E70" s="92"/>
      <c r="F70" s="110"/>
      <c r="G70" s="96">
        <v>0</v>
      </c>
      <c r="H70" s="111"/>
      <c r="I70" s="92"/>
      <c r="J70" s="110"/>
      <c r="K70" s="95">
        <f t="shared" si="1"/>
        <v>-38880</v>
      </c>
      <c r="L70" s="112"/>
    </row>
    <row r="71" spans="1:13" ht="6.75" customHeight="1" x14ac:dyDescent="0.25">
      <c r="A71" s="84"/>
      <c r="B71" s="85"/>
      <c r="C71" s="86"/>
      <c r="D71" s="112"/>
      <c r="F71" s="85"/>
      <c r="G71" s="86"/>
      <c r="H71" s="112"/>
      <c r="J71" s="85"/>
      <c r="K71" s="86"/>
      <c r="L71" s="112"/>
    </row>
    <row r="72" spans="1:13" ht="15" x14ac:dyDescent="0.25">
      <c r="A72" s="88" t="s">
        <v>69</v>
      </c>
      <c r="B72" s="85"/>
      <c r="C72" s="106">
        <f>SUM(C73:C77)</f>
        <v>0</v>
      </c>
      <c r="D72" s="107">
        <f>+C72/$C$92</f>
        <v>0</v>
      </c>
      <c r="F72" s="85"/>
      <c r="G72" s="106">
        <f>SUM(G73:G77)</f>
        <v>0</v>
      </c>
      <c r="H72" s="94">
        <f>+G72/$G$92</f>
        <v>0</v>
      </c>
      <c r="J72" s="85"/>
      <c r="K72" s="106">
        <f>SUM(K73:K77)</f>
        <v>0</v>
      </c>
      <c r="L72" s="107">
        <f>+K72/$C$92</f>
        <v>0</v>
      </c>
      <c r="M72" s="108"/>
    </row>
    <row r="73" spans="1:13" ht="13.8" x14ac:dyDescent="0.25">
      <c r="A73" s="119" t="s">
        <v>107</v>
      </c>
      <c r="B73" s="85"/>
      <c r="C73" s="90">
        <v>0</v>
      </c>
      <c r="D73" s="111"/>
      <c r="E73" s="92"/>
      <c r="F73" s="110"/>
      <c r="G73" s="93"/>
      <c r="H73" s="111"/>
      <c r="I73" s="92"/>
      <c r="J73" s="110"/>
      <c r="K73" s="90">
        <f>G73-C73</f>
        <v>0</v>
      </c>
      <c r="L73" s="112"/>
    </row>
    <row r="74" spans="1:13" ht="13.8" x14ac:dyDescent="0.25">
      <c r="A74" s="119" t="s">
        <v>107</v>
      </c>
      <c r="B74" s="85"/>
      <c r="C74" s="114">
        <v>0</v>
      </c>
      <c r="D74" s="111"/>
      <c r="E74" s="92"/>
      <c r="F74" s="110"/>
      <c r="G74" s="115"/>
      <c r="H74" s="111"/>
      <c r="I74" s="92"/>
      <c r="J74" s="110"/>
      <c r="K74" s="114">
        <f>G74-C74</f>
        <v>0</v>
      </c>
      <c r="L74" s="112"/>
    </row>
    <row r="75" spans="1:13" ht="13.8" x14ac:dyDescent="0.25">
      <c r="A75" s="119" t="s">
        <v>107</v>
      </c>
      <c r="B75" s="85"/>
      <c r="C75" s="114">
        <v>0</v>
      </c>
      <c r="D75" s="111"/>
      <c r="E75" s="92"/>
      <c r="F75" s="110"/>
      <c r="G75" s="115"/>
      <c r="H75" s="111"/>
      <c r="I75" s="92"/>
      <c r="J75" s="110"/>
      <c r="K75" s="114">
        <f>G75-C75</f>
        <v>0</v>
      </c>
      <c r="L75" s="112"/>
    </row>
    <row r="76" spans="1:13" ht="13.8" x14ac:dyDescent="0.25">
      <c r="A76" s="119" t="s">
        <v>107</v>
      </c>
      <c r="B76" s="85"/>
      <c r="C76" s="114">
        <v>0</v>
      </c>
      <c r="D76" s="111"/>
      <c r="E76" s="92"/>
      <c r="F76" s="110"/>
      <c r="G76" s="115"/>
      <c r="H76" s="111"/>
      <c r="I76" s="92"/>
      <c r="J76" s="110"/>
      <c r="K76" s="114">
        <f>G76-C76</f>
        <v>0</v>
      </c>
      <c r="L76" s="112"/>
    </row>
    <row r="77" spans="1:13" ht="13.8" x14ac:dyDescent="0.25">
      <c r="A77" s="119" t="s">
        <v>107</v>
      </c>
      <c r="B77" s="85"/>
      <c r="C77" s="95">
        <v>0</v>
      </c>
      <c r="D77" s="111"/>
      <c r="E77" s="92"/>
      <c r="F77" s="110"/>
      <c r="G77" s="96"/>
      <c r="H77" s="111"/>
      <c r="I77" s="92"/>
      <c r="J77" s="110"/>
      <c r="K77" s="95">
        <f>G77-C77</f>
        <v>0</v>
      </c>
      <c r="L77" s="112"/>
    </row>
    <row r="78" spans="1:13" ht="6.75" customHeight="1" x14ac:dyDescent="0.25">
      <c r="A78" s="120"/>
      <c r="B78" s="85"/>
      <c r="C78" s="86"/>
      <c r="D78" s="121"/>
      <c r="F78" s="85"/>
      <c r="G78" s="86"/>
      <c r="H78" s="121"/>
      <c r="J78" s="85"/>
      <c r="K78" s="86"/>
      <c r="L78" s="121"/>
    </row>
    <row r="79" spans="1:13" ht="15" x14ac:dyDescent="0.25">
      <c r="A79" s="88" t="s">
        <v>59</v>
      </c>
      <c r="B79" s="85"/>
      <c r="C79" s="106">
        <f>SUM(C80:C88)</f>
        <v>43067</v>
      </c>
      <c r="D79" s="107">
        <f>+C79/$C$92</f>
        <v>2.3093506797830336E-3</v>
      </c>
      <c r="F79" s="85"/>
      <c r="G79" s="106">
        <f>SUM(G80:G88)</f>
        <v>0</v>
      </c>
      <c r="H79" s="94">
        <f>+G79/$G$92</f>
        <v>0</v>
      </c>
      <c r="J79" s="85"/>
      <c r="K79" s="106">
        <f>SUM(K80:K88)</f>
        <v>-43067</v>
      </c>
      <c r="L79" s="107">
        <f>+K79/$C$92</f>
        <v>-2.3093506797830336E-3</v>
      </c>
      <c r="M79" s="108"/>
    </row>
    <row r="80" spans="1:13" ht="13.8" x14ac:dyDescent="0.25">
      <c r="A80" s="109" t="s">
        <v>60</v>
      </c>
      <c r="B80" s="85"/>
      <c r="C80" s="90">
        <f>'Form 2'!H44</f>
        <v>7079</v>
      </c>
      <c r="D80" s="111"/>
      <c r="E80" s="92"/>
      <c r="F80" s="110"/>
      <c r="G80" s="93">
        <v>0</v>
      </c>
      <c r="H80" s="111"/>
      <c r="I80" s="92"/>
      <c r="J80" s="110"/>
      <c r="K80" s="90">
        <f t="shared" ref="K80:K88" si="2">G80-C80</f>
        <v>-7079</v>
      </c>
      <c r="L80" s="112"/>
    </row>
    <row r="81" spans="1:13" ht="13.8" x14ac:dyDescent="0.25">
      <c r="A81" s="109" t="s">
        <v>8</v>
      </c>
      <c r="B81" s="85"/>
      <c r="C81" s="114">
        <f>'Form 2'!H45</f>
        <v>14159</v>
      </c>
      <c r="D81" s="111"/>
      <c r="E81" s="92"/>
      <c r="F81" s="110"/>
      <c r="G81" s="115">
        <v>0</v>
      </c>
      <c r="H81" s="111"/>
      <c r="I81" s="92"/>
      <c r="J81" s="110"/>
      <c r="K81" s="114">
        <f t="shared" si="2"/>
        <v>-14159</v>
      </c>
      <c r="L81" s="112"/>
    </row>
    <row r="82" spans="1:13" ht="13.8" x14ac:dyDescent="0.25">
      <c r="A82" s="109" t="s">
        <v>28</v>
      </c>
      <c r="B82" s="85"/>
      <c r="C82" s="114">
        <f>'Form 2'!H46</f>
        <v>21829</v>
      </c>
      <c r="D82" s="111"/>
      <c r="E82" s="92"/>
      <c r="F82" s="110"/>
      <c r="G82" s="115">
        <v>0</v>
      </c>
      <c r="H82" s="111"/>
      <c r="I82" s="92"/>
      <c r="J82" s="110"/>
      <c r="K82" s="114">
        <f t="shared" si="2"/>
        <v>-21829</v>
      </c>
      <c r="L82" s="112"/>
    </row>
    <row r="83" spans="1:13" ht="13.8" x14ac:dyDescent="0.25">
      <c r="A83" s="109" t="s">
        <v>61</v>
      </c>
      <c r="B83" s="85"/>
      <c r="C83" s="114">
        <v>0</v>
      </c>
      <c r="D83" s="111"/>
      <c r="E83" s="92"/>
      <c r="F83" s="110"/>
      <c r="G83" s="115"/>
      <c r="H83" s="111"/>
      <c r="I83" s="92"/>
      <c r="J83" s="110"/>
      <c r="K83" s="114">
        <f t="shared" si="2"/>
        <v>0</v>
      </c>
      <c r="L83" s="112"/>
    </row>
    <row r="84" spans="1:13" ht="13.8" x14ac:dyDescent="0.25">
      <c r="A84" s="109" t="s">
        <v>108</v>
      </c>
      <c r="B84" s="85"/>
      <c r="C84" s="114">
        <v>0</v>
      </c>
      <c r="D84" s="111"/>
      <c r="E84" s="92"/>
      <c r="F84" s="110"/>
      <c r="G84" s="115"/>
      <c r="H84" s="111"/>
      <c r="I84" s="92"/>
      <c r="J84" s="110"/>
      <c r="K84" s="114">
        <f t="shared" si="2"/>
        <v>0</v>
      </c>
      <c r="L84" s="112"/>
    </row>
    <row r="85" spans="1:13" ht="13.8" x14ac:dyDescent="0.25">
      <c r="A85" s="109" t="s">
        <v>62</v>
      </c>
      <c r="B85" s="85"/>
      <c r="C85" s="114">
        <v>0</v>
      </c>
      <c r="D85" s="111"/>
      <c r="E85" s="92"/>
      <c r="F85" s="110"/>
      <c r="G85" s="115"/>
      <c r="H85" s="111"/>
      <c r="I85" s="92"/>
      <c r="J85" s="110"/>
      <c r="K85" s="114">
        <f t="shared" si="2"/>
        <v>0</v>
      </c>
      <c r="L85" s="112"/>
    </row>
    <row r="86" spans="1:13" ht="13.8" x14ac:dyDescent="0.25">
      <c r="A86" s="109" t="s">
        <v>35</v>
      </c>
      <c r="B86" s="85"/>
      <c r="C86" s="114">
        <v>0</v>
      </c>
      <c r="D86" s="111"/>
      <c r="E86" s="92"/>
      <c r="F86" s="110"/>
      <c r="G86" s="115"/>
      <c r="H86" s="111"/>
      <c r="I86" s="92"/>
      <c r="J86" s="110"/>
      <c r="K86" s="114">
        <f t="shared" si="2"/>
        <v>0</v>
      </c>
      <c r="L86" s="112"/>
    </row>
    <row r="87" spans="1:13" ht="13.8" x14ac:dyDescent="0.25">
      <c r="A87" s="119" t="s">
        <v>39</v>
      </c>
      <c r="B87" s="85"/>
      <c r="C87" s="114">
        <v>0</v>
      </c>
      <c r="D87" s="111"/>
      <c r="E87" s="92"/>
      <c r="F87" s="110"/>
      <c r="G87" s="115"/>
      <c r="H87" s="111"/>
      <c r="I87" s="92"/>
      <c r="J87" s="110"/>
      <c r="K87" s="114">
        <f t="shared" si="2"/>
        <v>0</v>
      </c>
      <c r="L87" s="112"/>
    </row>
    <row r="88" spans="1:13" ht="13.8" x14ac:dyDescent="0.25">
      <c r="A88" s="119" t="s">
        <v>39</v>
      </c>
      <c r="B88" s="85"/>
      <c r="C88" s="95">
        <v>0</v>
      </c>
      <c r="D88" s="111"/>
      <c r="E88" s="92"/>
      <c r="F88" s="110"/>
      <c r="G88" s="96"/>
      <c r="H88" s="111"/>
      <c r="I88" s="92"/>
      <c r="J88" s="110"/>
      <c r="K88" s="95">
        <f t="shared" si="2"/>
        <v>0</v>
      </c>
      <c r="L88" s="112"/>
    </row>
    <row r="89" spans="1:13" ht="6.75" customHeight="1" x14ac:dyDescent="0.25">
      <c r="A89" s="84"/>
      <c r="B89" s="85"/>
      <c r="C89" s="86"/>
      <c r="D89" s="112"/>
      <c r="F89" s="85"/>
      <c r="G89" s="86"/>
      <c r="H89" s="112"/>
      <c r="J89" s="85"/>
      <c r="K89" s="86"/>
      <c r="L89" s="112"/>
    </row>
    <row r="90" spans="1:13" ht="15" x14ac:dyDescent="0.25">
      <c r="A90" s="88" t="s">
        <v>19</v>
      </c>
      <c r="B90" s="85"/>
      <c r="C90" s="122">
        <f>ROUND(((C37+C79+C35+C34+C33+C24+C17+C72+C9+C10)/97*3),0)</f>
        <v>559469</v>
      </c>
      <c r="D90" s="107">
        <f>+C90/$C$92</f>
        <v>3.0000002681113937E-2</v>
      </c>
      <c r="F90" s="85"/>
      <c r="G90" s="122">
        <f>ROUND(((G37+G79+G35+G34+G33+G24+G17+G72+G9+G10)/97*3),0)</f>
        <v>559469</v>
      </c>
      <c r="H90" s="94">
        <f>+G90/$G$92</f>
        <v>3.0000002407640298E-2</v>
      </c>
      <c r="J90" s="85"/>
      <c r="K90" s="122">
        <f>G90-C90</f>
        <v>0</v>
      </c>
      <c r="L90" s="107">
        <f>+K90/$C$92</f>
        <v>0</v>
      </c>
      <c r="M90" s="108"/>
    </row>
    <row r="91" spans="1:13" ht="6.75" customHeight="1" thickBot="1" x14ac:dyDescent="0.3">
      <c r="A91" s="84"/>
      <c r="B91" s="85"/>
      <c r="C91" s="106"/>
      <c r="D91" s="112"/>
      <c r="F91" s="85"/>
      <c r="G91" s="106"/>
      <c r="H91" s="112"/>
      <c r="J91" s="85"/>
      <c r="K91" s="106"/>
      <c r="L91" s="112"/>
    </row>
    <row r="92" spans="1:13" ht="18" thickBot="1" x14ac:dyDescent="0.35">
      <c r="A92" s="97" t="s">
        <v>9</v>
      </c>
      <c r="B92" s="98"/>
      <c r="C92" s="99">
        <f>C35+C34+C33+C24+C17+C37+C90+C79+C72</f>
        <v>18648965</v>
      </c>
      <c r="D92" s="123">
        <f>SUM(D17:D91)</f>
        <v>0.99999999999999989</v>
      </c>
      <c r="F92" s="98"/>
      <c r="G92" s="99">
        <f>G35+G34+G33+G24+G17+G37+G90+G79+G72</f>
        <v>18648965.169999998</v>
      </c>
      <c r="H92" s="123">
        <f>SUM(H17:H91)</f>
        <v>1.0000000000000002</v>
      </c>
      <c r="J92" s="98"/>
      <c r="K92" s="99">
        <f>K35+K34+K33+K24+K17+K37+K90+K79+K72</f>
        <v>0.17000000039115548</v>
      </c>
      <c r="L92" s="123">
        <f>SUM(L17:L91)</f>
        <v>9.1157874113761972E-9</v>
      </c>
    </row>
    <row r="93" spans="1:13" ht="14.4" thickBot="1" x14ac:dyDescent="0.3">
      <c r="A93" s="84"/>
      <c r="B93" s="124"/>
      <c r="C93" s="125"/>
      <c r="D93" s="126"/>
      <c r="F93" s="124"/>
      <c r="G93" s="125"/>
      <c r="H93" s="126"/>
      <c r="J93" s="124"/>
      <c r="K93" s="125"/>
      <c r="L93" s="126"/>
    </row>
    <row r="94" spans="1:13" ht="6.75" customHeight="1" x14ac:dyDescent="0.25">
      <c r="A94" s="84"/>
      <c r="B94" s="127"/>
      <c r="C94" s="86"/>
      <c r="D94" s="128"/>
      <c r="F94" s="127"/>
      <c r="G94" s="86"/>
      <c r="H94" s="128"/>
      <c r="J94" s="127"/>
      <c r="K94" s="86"/>
      <c r="L94" s="128"/>
    </row>
    <row r="95" spans="1:13" ht="15" x14ac:dyDescent="0.25">
      <c r="A95" s="88" t="s">
        <v>12</v>
      </c>
      <c r="B95" s="118"/>
      <c r="C95" s="106">
        <f>(C92+C12)</f>
        <v>0</v>
      </c>
      <c r="D95" s="129"/>
      <c r="F95" s="118"/>
      <c r="G95" s="106">
        <f>(G92+G12)</f>
        <v>0.16999999806284904</v>
      </c>
      <c r="H95" s="129"/>
      <c r="J95" s="118"/>
      <c r="K95" s="106">
        <f>(K92+K12)</f>
        <v>0.17000000039115548</v>
      </c>
      <c r="L95" s="129"/>
    </row>
    <row r="97" spans="3:11" x14ac:dyDescent="0.25">
      <c r="C97" s="130" t="s">
        <v>13</v>
      </c>
    </row>
    <row r="98" spans="3:11" x14ac:dyDescent="0.25">
      <c r="C98" s="24"/>
      <c r="G98" s="24"/>
      <c r="K98" s="108" t="s">
        <v>13</v>
      </c>
    </row>
    <row r="99" spans="3:11" x14ac:dyDescent="0.25">
      <c r="C99" s="24"/>
      <c r="G99" s="24"/>
    </row>
    <row r="100" spans="3:11" x14ac:dyDescent="0.25">
      <c r="C100" s="24"/>
      <c r="G100" s="24"/>
    </row>
    <row r="101" spans="3:11" x14ac:dyDescent="0.25">
      <c r="C101" s="24"/>
      <c r="G101" s="24"/>
    </row>
    <row r="102" spans="3:11" x14ac:dyDescent="0.25">
      <c r="C102" s="24"/>
      <c r="G102" s="24"/>
    </row>
    <row r="103" spans="3:11" x14ac:dyDescent="0.25">
      <c r="C103" s="24"/>
      <c r="G103" s="24"/>
    </row>
    <row r="139" spans="3:7" x14ac:dyDescent="0.25">
      <c r="C139" s="24"/>
      <c r="G139" s="24"/>
    </row>
  </sheetData>
  <sheetProtection password="CFF5" sheet="1" objects="1" scenarios="1" selectLockedCells="1"/>
  <sortState ref="A27:S43">
    <sortCondition ref="A27:A43"/>
  </sortState>
  <mergeCells count="6">
    <mergeCell ref="B5:D5"/>
    <mergeCell ref="F5:H5"/>
    <mergeCell ref="J5:L5"/>
    <mergeCell ref="A1:L1"/>
    <mergeCell ref="A2:L2"/>
    <mergeCell ref="A3:L3"/>
  </mergeCells>
  <phoneticPr fontId="0" type="noConversion"/>
  <dataValidations count="2">
    <dataValidation type="whole" operator="equal" showErrorMessage="1" errorTitle="Budget must balance" error="Budget is not balancing. Income and expenditure must be equal." sqref="C95 G95 K95">
      <formula1>0</formula1>
    </dataValidation>
    <dataValidation type="whole" allowBlank="1" showErrorMessage="1" errorTitle="Income must be a credit" error="Add a minus infront of the value" sqref="C8:C10 G8:G10 K8:K10">
      <formula1>-9.99999999999999E+44</formula1>
      <formula2>0</formula2>
    </dataValidation>
  </dataValidations>
  <pageMargins left="0.6692913385826772" right="0.23622047244094491" top="0.45" bottom="0.18" header="0.19685039370078741" footer="0.18"/>
  <pageSetup paperSize="9" scale="75" fitToHeight="2" orientation="portrait" r:id="rId1"/>
  <headerFooter alignWithMargins="0">
    <oddHeader>&amp;RForm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B9" sqref="B9"/>
    </sheetView>
  </sheetViews>
  <sheetFormatPr defaultColWidth="8.88671875" defaultRowHeight="13.2" x14ac:dyDescent="0.25"/>
  <cols>
    <col min="1" max="1" width="2.88671875" style="132" customWidth="1"/>
    <col min="2" max="2" width="50.6640625" style="132" customWidth="1"/>
    <col min="3" max="3" width="2.88671875" style="132" customWidth="1"/>
    <col min="4" max="4" width="14.6640625" style="132" customWidth="1"/>
    <col min="5" max="5" width="8" style="132" bestFit="1" customWidth="1"/>
    <col min="6" max="6" width="4.6640625" style="132" customWidth="1"/>
    <col min="7" max="7" width="8.88671875" style="132"/>
    <col min="8" max="8" width="11.6640625" style="132" customWidth="1"/>
    <col min="9" max="9" width="10.109375" style="132" bestFit="1" customWidth="1"/>
    <col min="10" max="16384" width="8.88671875" style="132"/>
  </cols>
  <sheetData>
    <row r="1" spans="1:10" ht="50.4" customHeight="1" x14ac:dyDescent="0.25">
      <c r="A1" s="186" t="str">
        <f>+'Form 3'!A1:L1</f>
        <v>VOORTREKKER ROAD CORRIDOR IMPROVEMENT DISTRICT (VRCID)</v>
      </c>
      <c r="B1" s="186"/>
      <c r="C1" s="186"/>
      <c r="D1" s="186"/>
      <c r="E1" s="186"/>
      <c r="F1" s="131"/>
    </row>
    <row r="2" spans="1:10" ht="17.399999999999999" x14ac:dyDescent="0.3">
      <c r="A2" s="187" t="str">
        <f>+'Form 3'!A2:L2</f>
        <v>2018/19</v>
      </c>
      <c r="B2" s="187"/>
      <c r="C2" s="187"/>
      <c r="D2" s="187"/>
      <c r="E2" s="187"/>
      <c r="F2" s="131"/>
    </row>
    <row r="3" spans="1:10" ht="17.399999999999999" x14ac:dyDescent="0.3">
      <c r="A3" s="188" t="s">
        <v>46</v>
      </c>
      <c r="B3" s="188"/>
      <c r="C3" s="188"/>
      <c r="D3" s="188"/>
      <c r="E3" s="188"/>
      <c r="F3" s="131"/>
    </row>
    <row r="4" spans="1:10" ht="17.399999999999999" x14ac:dyDescent="0.3">
      <c r="A4" s="133"/>
      <c r="B4" s="133"/>
      <c r="C4" s="131"/>
      <c r="D4" s="131"/>
    </row>
    <row r="5" spans="1:10" ht="18" thickBot="1" x14ac:dyDescent="0.35">
      <c r="A5" s="134"/>
      <c r="B5" s="133"/>
      <c r="C5" s="189" t="s">
        <v>30</v>
      </c>
      <c r="D5" s="190"/>
      <c r="E5" s="190"/>
      <c r="F5" s="135"/>
    </row>
    <row r="6" spans="1:10" ht="16.5" customHeight="1" x14ac:dyDescent="0.3">
      <c r="A6" s="134"/>
      <c r="B6" s="136" t="s">
        <v>1</v>
      </c>
      <c r="C6" s="137"/>
      <c r="D6" s="138" t="s">
        <v>29</v>
      </c>
      <c r="E6" s="139" t="s">
        <v>13</v>
      </c>
      <c r="F6" s="140"/>
    </row>
    <row r="7" spans="1:10" ht="16.5" customHeight="1" x14ac:dyDescent="0.25">
      <c r="C7" s="141"/>
      <c r="D7" s="142"/>
      <c r="E7" s="143"/>
    </row>
    <row r="8" spans="1:10" ht="16.5" customHeight="1" x14ac:dyDescent="0.25">
      <c r="A8" s="144"/>
      <c r="B8" s="145" t="s">
        <v>69</v>
      </c>
      <c r="C8" s="141"/>
      <c r="D8" s="146">
        <f>SUM(D9:D13)</f>
        <v>0</v>
      </c>
      <c r="E8" s="147" t="e">
        <f>+D8/D24</f>
        <v>#DIV/0!</v>
      </c>
      <c r="H8" s="148"/>
      <c r="I8" s="149"/>
      <c r="J8" s="142"/>
    </row>
    <row r="9" spans="1:10" ht="16.5" customHeight="1" x14ac:dyDescent="0.25">
      <c r="A9" s="150"/>
      <c r="B9" s="172" t="s">
        <v>47</v>
      </c>
      <c r="C9" s="141"/>
      <c r="D9" s="151"/>
      <c r="E9" s="152"/>
      <c r="H9" s="153"/>
      <c r="I9" s="149"/>
      <c r="J9" s="142"/>
    </row>
    <row r="10" spans="1:10" ht="16.5" customHeight="1" x14ac:dyDescent="0.25">
      <c r="A10" s="150"/>
      <c r="B10" s="172" t="s">
        <v>47</v>
      </c>
      <c r="C10" s="141"/>
      <c r="D10" s="154"/>
      <c r="E10" s="152"/>
      <c r="H10" s="153"/>
      <c r="I10" s="149"/>
      <c r="J10" s="142"/>
    </row>
    <row r="11" spans="1:10" ht="16.5" customHeight="1" x14ac:dyDescent="0.25">
      <c r="A11" s="150"/>
      <c r="B11" s="172" t="s">
        <v>47</v>
      </c>
      <c r="C11" s="141"/>
      <c r="D11" s="154"/>
      <c r="E11" s="152"/>
      <c r="H11" s="153"/>
      <c r="I11" s="149"/>
      <c r="J11" s="142"/>
    </row>
    <row r="12" spans="1:10" ht="16.5" customHeight="1" x14ac:dyDescent="0.25">
      <c r="A12" s="150"/>
      <c r="B12" s="172" t="s">
        <v>47</v>
      </c>
      <c r="C12" s="141"/>
      <c r="D12" s="154"/>
      <c r="E12" s="152"/>
      <c r="H12" s="153"/>
      <c r="I12" s="149"/>
      <c r="J12" s="142"/>
    </row>
    <row r="13" spans="1:10" ht="16.5" customHeight="1" x14ac:dyDescent="0.25">
      <c r="A13" s="150"/>
      <c r="B13" s="172" t="s">
        <v>47</v>
      </c>
      <c r="C13" s="141"/>
      <c r="D13" s="155"/>
      <c r="E13" s="152"/>
      <c r="H13" s="153"/>
      <c r="I13" s="149"/>
      <c r="J13" s="142"/>
    </row>
    <row r="14" spans="1:10" ht="16.5" customHeight="1" x14ac:dyDescent="0.25">
      <c r="A14" s="150"/>
      <c r="C14" s="141"/>
      <c r="D14" s="156"/>
      <c r="E14" s="152"/>
      <c r="H14" s="153"/>
      <c r="I14" s="149"/>
      <c r="J14" s="142"/>
    </row>
    <row r="15" spans="1:10" ht="16.5" customHeight="1" x14ac:dyDescent="0.25">
      <c r="A15" s="144"/>
      <c r="B15" s="145" t="s">
        <v>109</v>
      </c>
      <c r="C15" s="157"/>
      <c r="D15" s="146">
        <f>SUM(D16:D22)</f>
        <v>0</v>
      </c>
      <c r="E15" s="158" t="e">
        <f>D15/D24</f>
        <v>#DIV/0!</v>
      </c>
    </row>
    <row r="16" spans="1:10" ht="16.5" customHeight="1" x14ac:dyDescent="0.25">
      <c r="A16" s="150"/>
      <c r="B16" s="132" t="s">
        <v>7</v>
      </c>
      <c r="C16" s="157"/>
      <c r="D16" s="151"/>
      <c r="E16" s="159"/>
    </row>
    <row r="17" spans="1:6" ht="16.5" customHeight="1" x14ac:dyDescent="0.25">
      <c r="A17" s="150"/>
      <c r="B17" s="132" t="s">
        <v>8</v>
      </c>
      <c r="C17" s="157"/>
      <c r="D17" s="160"/>
      <c r="E17" s="159"/>
    </row>
    <row r="18" spans="1:6" ht="16.5" customHeight="1" x14ac:dyDescent="0.25">
      <c r="A18" s="150"/>
      <c r="B18" s="132" t="s">
        <v>28</v>
      </c>
      <c r="C18" s="157"/>
      <c r="D18" s="154">
        <v>0</v>
      </c>
      <c r="E18" s="159"/>
    </row>
    <row r="19" spans="1:6" ht="16.5" customHeight="1" x14ac:dyDescent="0.25">
      <c r="A19" s="150"/>
      <c r="B19" s="132" t="s">
        <v>48</v>
      </c>
      <c r="C19" s="157"/>
      <c r="D19" s="154"/>
      <c r="E19" s="159"/>
    </row>
    <row r="20" spans="1:6" ht="16.5" customHeight="1" x14ac:dyDescent="0.25">
      <c r="A20" s="150"/>
      <c r="B20" s="132" t="s">
        <v>49</v>
      </c>
      <c r="C20" s="157"/>
      <c r="D20" s="160"/>
      <c r="E20" s="159"/>
    </row>
    <row r="21" spans="1:6" ht="16.5" customHeight="1" x14ac:dyDescent="0.25">
      <c r="A21" s="150"/>
      <c r="B21" s="172" t="s">
        <v>39</v>
      </c>
      <c r="C21" s="157"/>
      <c r="D21" s="154">
        <v>0</v>
      </c>
      <c r="E21" s="159"/>
    </row>
    <row r="22" spans="1:6" ht="16.5" customHeight="1" x14ac:dyDescent="0.25">
      <c r="A22" s="150"/>
      <c r="B22" s="172" t="s">
        <v>39</v>
      </c>
      <c r="C22" s="157"/>
      <c r="D22" s="155"/>
      <c r="E22" s="159"/>
    </row>
    <row r="23" spans="1:6" ht="16.5" customHeight="1" thickBot="1" x14ac:dyDescent="0.3">
      <c r="A23" s="150"/>
      <c r="C23" s="157"/>
      <c r="D23" s="156"/>
      <c r="E23" s="159"/>
    </row>
    <row r="24" spans="1:6" s="165" customFormat="1" ht="16.5" customHeight="1" thickBot="1" x14ac:dyDescent="0.3">
      <c r="A24" s="161" t="s">
        <v>13</v>
      </c>
      <c r="B24" s="161" t="s">
        <v>9</v>
      </c>
      <c r="C24" s="162"/>
      <c r="D24" s="163">
        <f>+D8+D15</f>
        <v>0</v>
      </c>
      <c r="E24" s="164" t="e">
        <f>SUM(E8:E23)</f>
        <v>#DIV/0!</v>
      </c>
    </row>
    <row r="25" spans="1:6" ht="16.5" customHeight="1" thickBot="1" x14ac:dyDescent="0.3">
      <c r="C25" s="166"/>
      <c r="D25" s="167"/>
      <c r="E25" s="168"/>
    </row>
    <row r="26" spans="1:6" ht="16.5" customHeight="1" x14ac:dyDescent="0.25">
      <c r="D26" s="169"/>
    </row>
    <row r="27" spans="1:6" x14ac:dyDescent="0.25">
      <c r="A27" s="142"/>
      <c r="B27" s="142"/>
      <c r="C27" s="142"/>
      <c r="D27" s="142"/>
      <c r="E27" s="142"/>
      <c r="F27" s="142"/>
    </row>
    <row r="64" spans="2:4" x14ac:dyDescent="0.25">
      <c r="B64" s="170" t="s">
        <v>14</v>
      </c>
      <c r="D64" s="171" t="e">
        <f>#REF!+#REF!+#REF!+#REF!+#REF!+#REF!+(SUM(D9:D13))</f>
        <v>#REF!</v>
      </c>
    </row>
  </sheetData>
  <sheetProtection algorithmName="SHA-512" hashValue="BrNLH69tlaM/64q/9RLHZxPfzsfJEUPNEpeKv/PHrvAfDNAisMFSmqfE5LNgN9p2FLJNeTq85Sx3PoL/XXzK7A==" saltValue="i79+R2MxuEixUKUuXdx8xw==" spinCount="100000" sheet="1" objects="1" scenarios="1" selectLockedCells="1"/>
  <mergeCells count="4">
    <mergeCell ref="A1:E1"/>
    <mergeCell ref="A2:E2"/>
    <mergeCell ref="A3:E3"/>
    <mergeCell ref="C5:E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1F65493E5944DAC5F978F3175CBA9" ma:contentTypeVersion="0" ma:contentTypeDescription="Create a new document." ma:contentTypeScope="" ma:versionID="4f7d538ceb0ab6ef31879c7b431ca3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5D966-2035-4631-A0B9-79F4F86DAE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D7F1AA-68C8-40FA-AB93-244EF4A1EE26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67E49B2-FE5F-46BC-A83A-D99CEFE6D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2</vt:lpstr>
      <vt:lpstr>Form 3</vt:lpstr>
      <vt:lpstr>Surplus Utilisation</vt:lpstr>
      <vt:lpstr>'Form 2'!Print_Area</vt:lpstr>
      <vt:lpstr>'Form 3'!Print_Area</vt:lpstr>
    </vt:vector>
  </TitlesOfParts>
  <Company>City of Cape 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CoCT</dc:creator>
  <cp:lastModifiedBy>Derek</cp:lastModifiedBy>
  <cp:lastPrinted>2017-08-15T07:20:19Z</cp:lastPrinted>
  <dcterms:created xsi:type="dcterms:W3CDTF">2007-11-21T08:09:31Z</dcterms:created>
  <dcterms:modified xsi:type="dcterms:W3CDTF">2017-11-06T09:51:49Z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0x0101006321F65493E5944DAC5F978F3175CBA9</vt:lpwstr>
  </property>
</Properties>
</file>